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table+xml" PartName="/xl/tables/table5.xml"/>
  <Override ContentType="application/vnd.openxmlformats-officedocument.spreadsheetml.table+xml" PartName="/xl/tables/table4.xml"/>
  <Override ContentType="application/vnd.openxmlformats-officedocument.spreadsheetml.table+xml" PartName="/xl/tables/table3.xml"/>
  <Override ContentType="application/vnd.openxmlformats-officedocument.spreadsheetml.table+xml" PartName="/xl/tables/table1.xml"/>
  <Override ContentType="application/vnd.openxmlformats-officedocument.spreadsheetml.table+xml" PartName="/xl/tables/table10.xml"/>
  <Override ContentType="application/vnd.openxmlformats-officedocument.spreadsheetml.table+xml" PartName="/xl/tables/table2.xml"/>
  <Override ContentType="application/vnd.openxmlformats-officedocument.spreadsheetml.table+xml" PartName="/xl/tables/table7.xml"/>
  <Override ContentType="application/vnd.openxmlformats-officedocument.spreadsheetml.table+xml" PartName="/xl/tables/table6.xml"/>
  <Override ContentType="application/vnd.openxmlformats-officedocument.spreadsheetml.table+xml" PartName="/xl/tables/table8.xml"/>
  <Override ContentType="application/vnd.openxmlformats-officedocument.spreadsheetml.table+xml" PartName="/xl/tables/table12.xml"/>
  <Override ContentType="application/vnd.openxmlformats-officedocument.spreadsheetml.table+xml" PartName="/xl/tables/table9.xml"/>
  <Override ContentType="application/vnd.openxmlformats-officedocument.spreadsheetml.table+xml" PartName="/xl/tables/table11.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comments+xml" PartName="/xl/comments7.xml"/>
  <Override ContentType="application/vnd.openxmlformats-officedocument.spreadsheetml.comments+xml" PartName="/xl/comments9.xml"/>
  <Override ContentType="application/vnd.openxmlformats-officedocument.spreadsheetml.comments+xml" PartName="/xl/comments10.xml"/>
  <Override ContentType="application/vnd.openxmlformats-officedocument.spreadsheetml.comments+xml" PartName="/xl/comments6.xml"/>
  <Override ContentType="application/vnd.openxmlformats-officedocument.spreadsheetml.comments+xml" PartName="/xl/comments13.xml"/>
  <Override ContentType="application/vnd.openxmlformats-officedocument.spreadsheetml.comments+xml" PartName="/xl/comments4.xml"/>
  <Override ContentType="application/vnd.openxmlformats-officedocument.spreadsheetml.comments+xml" PartName="/xl/comments2.xml"/>
  <Override ContentType="application/vnd.openxmlformats-officedocument.spreadsheetml.comments+xml" PartName="/xl/comments8.xml"/>
  <Override ContentType="application/vnd.openxmlformats-officedocument.spreadsheetml.comments+xml" PartName="/xl/comments14.xml"/>
  <Override ContentType="application/vnd.openxmlformats-officedocument.spreadsheetml.comments+xml" PartName="/xl/comments11.xml"/>
  <Override ContentType="application/vnd.openxmlformats-officedocument.spreadsheetml.comments+xml" PartName="/xl/comments12.xml"/>
  <Override ContentType="application/vnd.openxmlformats-officedocument.spreadsheetml.comments+xml" PartName="/xl/comments5.xml"/>
  <Override ContentType="application/vnd.openxmlformats-officedocument.spreadsheetml.comments+xml" PartName="/xl/comments1.xml"/>
  <Override ContentType="application/vnd.openxmlformats-officedocument.spreadsheetml.comments+xml" PartName="/xl/comments3.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Landing Page" sheetId="1" r:id="rId3"/>
    <sheet state="visible" name="Masterlist" sheetId="2" r:id="rId4"/>
    <sheet state="visible" name="DD" sheetId="3" r:id="rId5"/>
    <sheet state="visible" name="CL" sheetId="4" r:id="rId6"/>
    <sheet state="visible" name="CA" sheetId="5" r:id="rId7"/>
    <sheet state="visible" name="CACL" sheetId="6" r:id="rId8"/>
    <sheet state="visible" name="BBBCBMBBV" sheetId="7" r:id="rId9"/>
    <sheet state="visible" name="CVCVLBBV" sheetId="8" r:id="rId10"/>
    <sheet state="visible" name="ARAE" sheetId="9" r:id="rId11"/>
    <sheet state="visible" name="SS" sheetId="10" r:id="rId12"/>
    <sheet state="visible" name="Weapons" sheetId="11" r:id="rId13"/>
    <sheet state="visible" name="Aircraft" sheetId="12" r:id="rId14"/>
    <sheet state="visible" name="AA Guns" sheetId="13" r:id="rId15"/>
    <sheet state="visible" name="Aux Gear" sheetId="14" r:id="rId16"/>
    <sheet state="visible" name="ASW Gear" sheetId="15" r:id="rId17"/>
    <sheet state="visible" name="Meowfficers" sheetId="16" r:id="rId18"/>
  </sheets>
  <definedNames>
    <definedName hidden="1" localSheetId="3" name="Z_89A112BF_7670_4149_A23D_9DE7296E8357_.wvu.FilterData">CL!$A$1:$Y$122</definedName>
    <definedName hidden="1" localSheetId="5" name="Z_89A112BF_7670_4149_A23D_9DE7296E8357_.wvu.FilterData">CACL!$A$1:$Y$210</definedName>
    <definedName hidden="1" localSheetId="6" name="Z_89A112BF_7670_4149_A23D_9DE7296E8357_.wvu.FilterData">BBBCBMBBV!$A$1:$Y$98</definedName>
    <definedName hidden="1" localSheetId="7" name="Z_89A112BF_7670_4149_A23D_9DE7296E8357_.wvu.FilterData">CVCVLBBV!$A$1:$Z$95</definedName>
    <definedName hidden="1" localSheetId="8" name="Z_89A112BF_7670_4149_A23D_9DE7296E8357_.wvu.FilterData">ARAE!$A$1:$Y$10</definedName>
    <definedName hidden="1" localSheetId="9" name="Z_89A112BF_7670_4149_A23D_9DE7296E8357_.wvu.FilterData">SS!$A$1:$Y$35</definedName>
    <definedName hidden="1" localSheetId="5" name="Z_B7B4CA30_437E_485A_933C_408D3E77C945_.wvu.FilterData">CACL!$B$1:$B$210</definedName>
    <definedName hidden="1" localSheetId="2" name="Z_7870A44B_63D4_4C19_B8CD_C7365A878731_.wvu.FilterData">DD!$A$1:$AC$210</definedName>
    <definedName hidden="1" localSheetId="1" name="Z_B9BC391F_1590_4DB6_9DDE_54372D10C689_.wvu.FilterData">Masterlist!$A$1:$X$368</definedName>
    <definedName hidden="1" localSheetId="2" name="Z_B9BC391F_1590_4DB6_9DDE_54372D10C689_.wvu.FilterData">DD!$T$1:$T$210</definedName>
    <definedName hidden="1" localSheetId="1" name="Z_9DC526C2_9056_41E1_BFB1_A0E348919450_.wvu.FilterData">Masterlist!$A$1:$X$368</definedName>
    <definedName hidden="1" localSheetId="2" name="Z_9DC526C2_9056_41E1_BFB1_A0E348919450_.wvu.FilterData">DD!$A$1:$AC$210</definedName>
    <definedName hidden="1" localSheetId="4" name="Z_9DC526C2_9056_41E1_BFB1_A0E348919450_.wvu.FilterData">CA!$A$1:$AB$82</definedName>
    <definedName hidden="1" localSheetId="6" name="Z_9DC526C2_9056_41E1_BFB1_A0E348919450_.wvu.FilterData">BBBCBMBBV!$A$1:$AB$89</definedName>
    <definedName hidden="1" localSheetId="1" name="Z_5A569FE0_46F2_4581_97CD_9BA081C3EF37_.wvu.FilterData">Masterlist!$A$1:$X$368</definedName>
    <definedName hidden="1" localSheetId="2" name="Z_5A569FE0_46F2_4581_97CD_9BA081C3EF37_.wvu.FilterData">DD!$A$1:$Z$210</definedName>
    <definedName hidden="1" localSheetId="5" name="Z_7DD7A393_8F26_4E7D_BD4A_46F1724D4D69_.wvu.FilterData">CACL!$A$1:$T$210</definedName>
    <definedName hidden="1" localSheetId="1" name="Z_C226F6DF_FF31_45B1_8E77_B4FADBED153C_.wvu.FilterData">Masterlist!$A$1:$X$368</definedName>
    <definedName hidden="1" localSheetId="2" name="Z_C226F6DF_FF31_45B1_8E77_B4FADBED153C_.wvu.FilterData">DD!$A$1:$AC$210</definedName>
    <definedName hidden="1" localSheetId="1" name="Z_4945B9E4_D3E1_4F8E_8920_799EF15902A1_.wvu.FilterData">Masterlist!$A$1:$X$368</definedName>
    <definedName hidden="1" localSheetId="2" name="Z_4945B9E4_D3E1_4F8E_8920_799EF15902A1_.wvu.FilterData">DD!$T$1:$T$210</definedName>
    <definedName hidden="1" localSheetId="3" name="Z_4945B9E4_D3E1_4F8E_8920_799EF15902A1_.wvu.FilterData">CL!$A$1:$AF$122</definedName>
    <definedName hidden="1" localSheetId="2" name="Z_9791F8D7_414D_4532_A372_9B598FF77A50_.wvu.FilterData">DD!$A$1:$AC$210</definedName>
  </definedNames>
  <calcPr/>
  <customWorkbookViews>
    <customWorkbookView activeSheetId="0" maximized="1" windowHeight="0" windowWidth="0" guid="{C226F6DF-FF31-45B1-8E77-B4FADBED153C}" name="Eagle Union"/>
    <customWorkbookView activeSheetId="0" maximized="1" windowHeight="0" windowWidth="0" guid="{7DD7A393-8F26-4E7D-BD4A-46F1724D4D69}" name="Heavy Cruisers"/>
    <customWorkbookView activeSheetId="0" maximized="1" windowHeight="0" windowWidth="0" guid="{7870A44B-63D4-4C19-B8CD-C7365A878731}" name="Iris Libre"/>
    <customWorkbookView activeSheetId="0" maximized="1" windowHeight="0" windowWidth="0" guid="{B7B4CA30-437E-485A-933C-408D3E77C945}" name="Light Cruisers"/>
    <customWorkbookView activeSheetId="0" maximized="1" windowHeight="0" windowWidth="0" guid="{B9BC391F-1590-4DB6-9DDE-54372D10C689}" name="Ironblood"/>
    <customWorkbookView activeSheetId="0" maximized="1" windowHeight="0" windowWidth="0" guid="{89A112BF-7670-4149-A23D-9DE7296E8357}" name="General"/>
    <customWorkbookView activeSheetId="0" maximized="1" windowHeight="0" windowWidth="0" guid="{5A569FE0-46F2-4581-97CD-9BA081C3EF37}" name="Eastern Radiance"/>
    <customWorkbookView activeSheetId="0" maximized="1" windowHeight="0" windowWidth="0" guid="{4945B9E4-D3E1-4F8E-8920-799EF15902A1}" name="Sakura Empire"/>
    <customWorkbookView activeSheetId="0" maximized="1" windowHeight="0" windowWidth="0" guid="{9791F8D7-414D-4532-A372-9B598FF77A50}" name="Vichya Dominion"/>
    <customWorkbookView activeSheetId="0" maximized="1" windowHeight="0" windowWidth="0" guid="{9DC526C2-9056-41E1-BFB1-A0E348919450}" name="Royal Navy"/>
  </customWorkbookViews>
</workbook>
</file>

<file path=xl/comments1.xml><?xml version="1.0" encoding="utf-8"?>
<comments xmlns:r="http://schemas.openxmlformats.org/officeDocument/2006/relationships" xmlns="http://schemas.openxmlformats.org/spreadsheetml/2006/main">
  <authors>
    <author/>
  </authors>
  <commentList>
    <comment authorId="0" ref="E1">
      <text>
        <t xml:space="preserve">Hit Points/Health</t>
      </text>
    </comment>
    <comment authorId="0" ref="F1">
      <text>
        <t xml:space="preserve">Firepower</t>
      </text>
    </comment>
    <comment authorId="0" ref="G1">
      <text>
        <t xml:space="preserve">Torpedo</t>
      </text>
    </comment>
    <comment authorId="0" ref="H1">
      <text>
        <t xml:space="preserve">Aviation/Airpower</t>
      </text>
    </comment>
    <comment authorId="0" ref="I1">
      <text>
        <t xml:space="preserve">Anti-Air (Increases damage of AA Weapons and decreases damage taken from aircraft)</t>
      </text>
    </comment>
    <comment authorId="0" ref="J1">
      <text>
        <t xml:space="preserve">Reload</t>
      </text>
    </comment>
    <comment authorId="0" ref="K1">
      <text>
        <t xml:space="preserve">Evasion</t>
      </text>
    </comment>
    <comment authorId="0" ref="M1">
      <text>
        <t xml:space="preserve">Speed (Affects battle move speed and sortie move distance.)</t>
      </text>
    </comment>
    <comment authorId="0" ref="N1">
      <text>
        <t xml:space="preserve">Accuracy</t>
      </text>
    </comment>
    <comment authorId="0" ref="O1">
      <text>
        <t xml:space="preserve">Luck</t>
      </text>
    </comment>
    <comment authorId="0" ref="P1">
      <text>
        <t xml:space="preserve">Anti-Submarine Warfare</t>
      </text>
    </comment>
    <comment authorId="0" ref="Q1">
      <text>
        <t xml:space="preserve">Oil Cost</t>
      </text>
    </comment>
    <comment authorId="0" ref="R1">
      <text>
        <t xml:space="preserve">Oxygen (Sub only)</t>
      </text>
    </comment>
    <comment authorId="0" ref="S1">
      <text>
        <t xml:space="preserve">Ammunition (Sub only)</t>
      </text>
    </comment>
    <comment authorId="0" ref="U5">
      <text>
        <t xml:space="preserve">This isn't a typo</t>
      </text>
    </comment>
    <comment authorId="0" ref="C341">
      <text>
        <t xml:space="preserve">Formerly "Belchan"</t>
      </text>
    </comment>
    <comment authorId="0" ref="B580">
      <text>
        <t xml:space="preserve">CB = Large Cruiser.  For all intents and purposes, it's a Heavy Cruiser (CA), and will be treated as such in this spreadsheet.</t>
      </text>
    </comment>
  </commentList>
</comments>
</file>

<file path=xl/comments10.xml><?xml version="1.0" encoding="utf-8"?>
<comments xmlns:r="http://schemas.openxmlformats.org/officeDocument/2006/relationships" xmlns="http://schemas.openxmlformats.org/spreadsheetml/2006/main">
  <authors>
    <author/>
  </authors>
  <commentList>
    <comment authorId="0" ref="O128">
      <text>
        <t xml:space="preserve">The fragments can and will take out aircraft if they hit.</t>
      </text>
    </comment>
  </commentList>
</comments>
</file>

<file path=xl/comments11.xml><?xml version="1.0" encoding="utf-8"?>
<comments xmlns:r="http://schemas.openxmlformats.org/officeDocument/2006/relationships" xmlns="http://schemas.openxmlformats.org/spreadsheetml/2006/main">
  <authors>
    <author/>
  </authors>
  <commentList>
    <comment authorId="0" ref="I1">
      <text>
        <t xml:space="preserve">Damage the plane causes when it reaches the edge of the screen, hitting the Main Fleet</t>
      </text>
    </comment>
    <comment authorId="0" ref="K1">
      <text>
        <t xml:space="preserve">A single volley from all AA weapons.</t>
      </text>
    </comment>
    <comment authorId="0" ref="L1">
      <text>
        <t xml:space="preserve">If a plane is able to fire multiple times over a period of a few seconds, these will be more accurate numbers than the burst column.</t>
      </text>
    </comment>
    <comment authorId="0" ref="N1">
      <text>
        <t xml:space="preserve">Evasion limit, a plane's chance to avoid AA fire.</t>
      </text>
    </comment>
  </commentList>
</comments>
</file>

<file path=xl/comments12.xml><?xml version="1.0" encoding="utf-8"?>
<comments xmlns:r="http://schemas.openxmlformats.org/officeDocument/2006/relationships" xmlns="http://schemas.openxmlformats.org/spreadsheetml/2006/main">
  <authors>
    <author/>
  </authors>
  <commentList>
    <comment authorId="0" ref="G1">
      <text>
        <t xml:space="preserve">For AA guns upgraded to the max, past +10</t>
      </text>
    </comment>
  </commentList>
</comments>
</file>

<file path=xl/comments13.xml><?xml version="1.0" encoding="utf-8"?>
<comments xmlns:r="http://schemas.openxmlformats.org/officeDocument/2006/relationships" xmlns="http://schemas.openxmlformats.org/spreadsheetml/2006/main">
  <authors>
    <author/>
  </authors>
  <commentList>
    <comment authorId="0" ref="O9">
      <text>
        <t xml:space="preserve">(CB, BB, BC, BBV, CV only)</t>
      </text>
    </comment>
    <comment authorId="0" ref="O26">
      <text>
        <t xml:space="preserve">(CB, BB, BC, BBV, CV only)</t>
      </text>
    </comment>
    <comment authorId="0" ref="L41">
      <text>
        <t xml:space="preserve">Only if equipped on Mikasa.</t>
      </text>
    </comment>
  </commentList>
</comments>
</file>

<file path=xl/comments14.xml><?xml version="1.0" encoding="utf-8"?>
<comments xmlns:r="http://schemas.openxmlformats.org/officeDocument/2006/relationships" xmlns="http://schemas.openxmlformats.org/spreadsheetml/2006/main">
  <authors>
    <author/>
  </authors>
  <commentList>
    <comment authorId="0" ref="D1">
      <text>
        <t xml:space="preserve">Increases Aviation, Firepower, and HP</t>
      </text>
    </comment>
    <comment authorId="0" ref="E1">
      <text>
        <t xml:space="preserve">Increases Firepower, Torpedo, and Anti-sub stat</t>
      </text>
    </comment>
    <comment authorId="0" ref="F1">
      <text>
        <t xml:space="preserve">Increases Torpedo, Aviation, and AA</t>
      </text>
    </comment>
  </commentList>
</comments>
</file>

<file path=xl/comments2.xml><?xml version="1.0" encoding="utf-8"?>
<comments xmlns:r="http://schemas.openxmlformats.org/officeDocument/2006/relationships" xmlns="http://schemas.openxmlformats.org/spreadsheetml/2006/main">
  <authors>
    <author/>
  </authors>
  <commentList>
    <comment authorId="0" ref="E1">
      <text>
        <t xml:space="preserve">Hit Points/Health</t>
      </text>
    </comment>
    <comment authorId="0" ref="F1">
      <text>
        <t xml:space="preserve">Firepower</t>
      </text>
    </comment>
    <comment authorId="0" ref="G1">
      <text>
        <t xml:space="preserve">Torpedo</t>
      </text>
    </comment>
    <comment authorId="0" ref="H1">
      <text>
        <t xml:space="preserve">Aviation/Airpower</t>
      </text>
    </comment>
    <comment authorId="0" ref="I1">
      <text>
        <t xml:space="preserve">Anti-Air</t>
      </text>
    </comment>
    <comment authorId="0" ref="J1">
      <text>
        <t xml:space="preserve">Reload</t>
      </text>
    </comment>
    <comment authorId="0" ref="K1">
      <text>
        <t xml:space="preserve">Evasion</t>
      </text>
    </comment>
    <comment authorId="0" ref="M1">
      <text>
        <t xml:space="preserve">Speed (Affects battle move speed and sortie move distance.)</t>
      </text>
    </comment>
    <comment authorId="0" ref="N1">
      <text>
        <t xml:space="preserve">Accuracy</t>
      </text>
    </comment>
    <comment authorId="0" ref="O1">
      <text>
        <t xml:space="preserve">Luck</t>
      </text>
    </comment>
    <comment authorId="0" ref="P1">
      <text>
        <t xml:space="preserve">Anti-Submarine Warfare</t>
      </text>
    </comment>
    <comment authorId="0" ref="Q1">
      <text>
        <t xml:space="preserve">Oil Cost</t>
      </text>
    </comment>
    <comment authorId="0" ref="R1">
      <text>
        <t xml:space="preserve">Oxygen</t>
      </text>
    </comment>
    <comment authorId="0" ref="S1">
      <text>
        <t xml:space="preserve">Ammunition</t>
      </text>
    </comment>
    <comment authorId="0" ref="Y1">
      <text>
        <t xml:space="preserve">Gun Bonus:  Half shots needed for All Out Assault
Torpedo Bonus:  Reduce torpedo spread
Utility Bonus:  +30% bonus to stats from auxiliary gear</t>
      </text>
    </comment>
    <comment authorId="0" ref="U2">
      <text>
        <t xml:space="preserve">Used to limit break or retrofit Elite and below ships.</t>
      </text>
    </comment>
    <comment authorId="0" ref="U3">
      <text>
        <t xml:space="preserve">Used to limit break or retrofit Super Rare ships</t>
      </text>
    </comment>
    <comment authorId="0" ref="U4">
      <text>
        <t xml:space="preserve">Used to limit break Ultra Rare ships</t>
      </text>
    </comment>
    <comment authorId="0" ref="U5">
      <text>
        <t xml:space="preserve">When sortied with Gridley, increase own Firepower by 15%, increase Gridley's Firepower and Reload by 15%</t>
      </text>
    </comment>
    <comment authorId="0" ref="U6">
      <text>
        <t xml:space="preserve">Recover 25% HP when HP falls under 20% once per battle.</t>
      </text>
    </comment>
    <comment authorId="0" ref="U7">
      <text>
        <t xml:space="preserve">Recover 25% HP when HP falls under 20% once per battle.</t>
      </text>
    </comment>
    <comment authorId="0" ref="W7">
      <text>
        <t xml:space="preserve">Every 20 seconds, 60% chance to increase own reload by 40% for 10 seconds.</t>
      </text>
    </comment>
    <comment authorId="0" ref="U8">
      <text>
        <t xml:space="preserve">Recover 25% HP when HP falls under 20% once per battle.</t>
      </text>
    </comment>
    <comment authorId="0" ref="U9">
      <text>
        <t xml:space="preserve">Recover 25% HP when HP falls under 20% once per battle.</t>
      </text>
    </comment>
    <comment authorId="0" ref="W9">
      <text>
        <t xml:space="preserve">Every 20 seconds, 60% chance to increase own reload by 40% for 10 seconds.</t>
      </text>
    </comment>
    <comment authorId="0" ref="U10">
      <text>
        <t xml:space="preserve">Increase Torpedo stat of all DDs in fleet by 15%</t>
      </text>
    </comment>
    <comment authorId="0" ref="V10">
      <text>
        <t xml:space="preserve">30% chance to launch a second wave of torpedoes.</t>
      </text>
    </comment>
    <comment authorId="0" ref="U11">
      <text>
        <t xml:space="preserve">30% chance to launch a second wave of torpedoes.</t>
      </text>
    </comment>
    <comment authorId="0" ref="U12">
      <text>
        <t xml:space="preserve">30% chance to launch a second wave of torpedoes.</t>
      </text>
    </comment>
    <comment authorId="0" ref="U13">
      <text>
        <t xml:space="preserve">Every 10 seconds, 40% chance to increase own Evasion by 60% for 8 seconds</t>
      </text>
    </comment>
    <comment authorId="0" ref="V13">
      <text>
        <t xml:space="preserve">30% chance to launch a second wave of torpedoes.</t>
      </text>
    </comment>
    <comment authorId="0" ref="U14">
      <text>
        <t xml:space="preserve">When attacking, increase Firepower and Evasion of Fletcher class DDs by 30%
(Aulick, Charles Ausburne, Fletcher, Foote, Jenkins, Nicholas, Radford, Spence, Thatcher, etc.)</t>
      </text>
    </comment>
    <comment authorId="0" ref="V14">
      <text>
        <t xml:space="preserve">Increase Firepower, Torpedo, and Reload stats of DDs by 10%</t>
      </text>
    </comment>
    <comment authorId="0" ref="U15">
      <text>
        <t xml:space="preserve">When firing, 4% chance to increase vanguard Speed and Evasion by 40% for 8 seconds.</t>
      </text>
    </comment>
    <comment authorId="0" ref="V15">
      <text>
        <t xml:space="preserve">Every 20 seconds, 60% chance to increase own Firepower by 40% for 10 seconds.</t>
      </text>
    </comment>
    <comment authorId="0" ref="U16">
      <text>
        <t xml:space="preserve">Every 20 seconds, 60% chance to increase own Firepower by 40% for 10 seconds.</t>
      </text>
    </comment>
    <comment authorId="0" ref="U17">
      <text>
        <t xml:space="preserve">Every 20 seconds, 60% chance to increase own reload by 40% for 10 seconds.</t>
      </text>
    </comment>
    <comment authorId="0" ref="U18">
      <text>
        <t xml:space="preserve">Every 20 seconds, 60% chance to increase own reload by 40% for 10 seconds.</t>
      </text>
    </comment>
    <comment authorId="0" ref="U19">
      <text>
        <t xml:space="preserve">Every 20 seconds, 60% chance to increase own reload by 40% for 10 seconds.</t>
      </text>
    </comment>
    <comment authorId="0" ref="U20">
      <text>
        <t xml:space="preserve">Increase Damage of airstrikes by CVs and CVLs by 15% while alive.</t>
      </text>
    </comment>
    <comment authorId="0" ref="U21">
      <text>
        <t xml:space="preserve">When firing, 5% chance to increase own Firepower, Reload, and Evasion by 40% for 8 seconds.</t>
      </text>
    </comment>
    <comment authorId="0" ref="U22">
      <text>
        <t xml:space="preserve">When firing, 5% chance to increase own Firepower, Reload, and Evasion by 40% for 8 seconds.</t>
      </text>
    </comment>
    <comment authorId="0" ref="W22">
      <text>
        <t xml:space="preserve">Every 20 seconds, 70% chance to launch a powerful barrage and increase reload by 200% for 10 seconds.</t>
      </text>
    </comment>
    <comment authorId="0" ref="U23">
      <text>
        <t xml:space="preserve">Increase Firepower of DDs by 15%</t>
      </text>
    </comment>
    <comment authorId="0" ref="U24">
      <text>
        <t xml:space="preserve">Increase Firepower of DDs by 15%</t>
      </text>
    </comment>
    <comment authorId="0" ref="W24">
      <text>
        <t xml:space="preserve">Once battle begins and every 15 seconds afterward, 30% chance to deploy smokescreen for 5 seconds.  Vanguard within smokescreen gain 40% additional Evasion.</t>
      </text>
    </comment>
    <comment authorId="0" ref="U25">
      <text>
        <t xml:space="preserve">Reduces damage taken by flagship by 25%</t>
      </text>
    </comment>
    <comment authorId="0" ref="U26">
      <text>
        <t xml:space="preserve">Reduces damage taken by flagship by 25%</t>
      </text>
    </comment>
    <comment authorId="0" ref="W26">
      <text>
        <t xml:space="preserve">When firing AA guns, 25% chance to increase own AA by 40% but decrease Firepower by 20% for 3 seconds.</t>
      </text>
    </comment>
    <comment authorId="0" ref="U27">
      <text>
        <t xml:space="preserve">15% chance upon taking damage, Vanguard evades all attacks for 10 seconds.  20 second cooldown, starting when skills ends.</t>
      </text>
    </comment>
    <comment authorId="0" ref="U28">
      <text>
        <t xml:space="preserve">Increase XP gained by DDs by 18%</t>
      </text>
    </comment>
    <comment authorId="0" ref="U29">
      <text>
        <t xml:space="preserve">Increase XP gained by DDs by 18%</t>
      </text>
    </comment>
    <comment authorId="0" ref="W29">
      <text>
        <t xml:space="preserve">For 80 seconds after battle starts, increase own damage dealt by 15%.
Reduce own damage taken by 8% and by other DDs in the fleet by 12%</t>
      </text>
    </comment>
    <comment authorId="0" ref="U30">
      <text>
        <t xml:space="preserve">If Acasta is the last Vanguard alive, increase own damage dealt by 50% and increase damage taken by 20%</t>
      </text>
    </comment>
    <comment authorId="0" ref="V30">
      <text>
        <t xml:space="preserve">Once battle begins and every 15 seconds afterward, 30% chance to deploy smokescreen for 5 seconds.  Vanguard within smokescreen gain 40% additional Evasion.</t>
      </text>
    </comment>
    <comment authorId="0" ref="U31">
      <text>
        <t xml:space="preserve">If Acasta is the last Vanguard alive, increase own damage dealt by 50% and increase damage taken by 20%</t>
      </text>
    </comment>
    <comment authorId="0" ref="V31">
      <text>
        <t xml:space="preserve">Once battle begins and every 15 seconds afterward, 30% chance to deploy smokescreen for 5 seconds.  Vanguard within smokescreen gain 40% additional Evasion.</t>
      </text>
    </comment>
    <comment authorId="0" ref="W31">
      <text>
        <t xml:space="preserve">Reduces damage taken by flagship by 25%</t>
      </text>
    </comment>
    <comment authorId="0" ref="U32">
      <text>
        <t xml:space="preserve">While alive, reduce damage taken by CVs and CVLs by 15%</t>
      </text>
    </comment>
    <comment authorId="0" ref="V32">
      <text>
        <t xml:space="preserve">Every 20 seconds, 25% chance to lower an enemy's Reload and Damage for 10 seconds.  Prioritizes elite (shipgirl) enemies.</t>
      </text>
    </comment>
    <comment authorId="0" ref="U33">
      <text>
        <t xml:space="preserve">While alive, reduce damage taken by CVs and CVLs by 15%</t>
      </text>
    </comment>
    <comment authorId="0" ref="V33">
      <text>
        <t xml:space="preserve">Every 20 seconds, 25% chance to lower an enemy's Reload and Damage for 10 seconds.  Prioritizes elite (shipgirl) enemies.</t>
      </text>
    </comment>
    <comment authorId="0" ref="W33">
      <text>
        <t xml:space="preserve">Increase Damage of airstrikes by CVs and CVLs by 15% while alive.</t>
      </text>
    </comment>
    <comment authorId="0" ref="U34">
      <text>
        <t xml:space="preserve">Every 20 seconds, 30% chance to evade all attacks for 6 seconds.</t>
      </text>
    </comment>
    <comment authorId="0" ref="U35">
      <text>
        <t xml:space="preserve">Every 20 seconds, 30% chance to evade all attacks for 6 seconds.</t>
      </text>
    </comment>
    <comment authorId="0" ref="U36">
      <text>
        <t xml:space="preserve">Increase Torpedo stat of all DDs in fleet by 15%</t>
      </text>
    </comment>
    <comment authorId="0" ref="U37">
      <text>
        <t xml:space="preserve">Increase Torpedo stat of all DDs in fleet by 15%</t>
      </text>
    </comment>
    <comment authorId="0" ref="W37">
      <text>
        <t xml:space="preserve">Once battle begins and every 15 seconds afterward, 30% chance to deploy smokescreen for 5 seconds.  Vanguard within smokescreen gain 40% additional Evasion.</t>
      </text>
    </comment>
    <comment authorId="0" ref="U38">
      <text>
        <t xml:space="preserve">Every 20 seconds, 30% chance to evade all attacks for 6 seconds.</t>
      </text>
    </comment>
    <comment authorId="0" ref="U39">
      <text>
        <t xml:space="preserve">Every 20 seconds, 30% chance to evade all attacks for 6 seconds.</t>
      </text>
    </comment>
    <comment authorId="0" ref="W39">
      <text>
        <t xml:space="preserve">Once battle begins and every 15 seconds afterward, 30% chance to deploy smokescreen for 5 seconds.  Vanguard within smokescreen gain 40% additional Evasion.</t>
      </text>
    </comment>
    <comment authorId="0" ref="U40">
      <text>
        <t xml:space="preserve">Every 20 seconds, 30% chance to evade all attacks for 6 seconds.</t>
      </text>
    </comment>
    <comment authorId="0" ref="U41">
      <text>
        <t xml:space="preserve">Every 20 seconds, 30% chance to evade all attacks for 6 seconds.</t>
      </text>
    </comment>
    <comment authorId="0" ref="W41">
      <text>
        <t xml:space="preserve">Once battle begins and every 15 seconds afterward, 30% chance to deploy smokescreen for 5 seconds.  Vanguard within smokescreen gain 40% additional Evasion.</t>
      </text>
    </comment>
    <comment authorId="0" ref="U42">
      <text>
        <t xml:space="preserve">Increase Reload of DDs by 15%</t>
      </text>
    </comment>
    <comment authorId="0" ref="U43">
      <text>
        <t xml:space="preserve">Increase Reload of DDs by 15%</t>
      </text>
    </comment>
    <comment authorId="0" ref="W43">
      <text>
        <t xml:space="preserve">Reduce damage taken by Main Fleet by 15%</t>
      </text>
    </comment>
    <comment authorId="0" ref="U44">
      <text>
        <t xml:space="preserve">Every 20 seconds, 30% chance to evade all attacks for 6 seconds.</t>
      </text>
    </comment>
    <comment authorId="0" ref="U45">
      <text>
        <t xml:space="preserve">Every 20 seconds, 30% chance to evade all attacks for 6 seconds.</t>
      </text>
    </comment>
    <comment authorId="0" ref="W45">
      <text>
        <t xml:space="preserve">Reduce damage taken by Main Fleet by 15%</t>
      </text>
    </comment>
    <comment authorId="0" ref="U46">
      <text>
        <t xml:space="preserve">Increase Firepower of DDs by 15%</t>
      </text>
    </comment>
    <comment authorId="0" ref="V46">
      <text>
        <t xml:space="preserve">Every 20 seconds, 30% chance to evade all attacks for 6 seconds.</t>
      </text>
    </comment>
    <comment authorId="0" ref="U47">
      <text>
        <t xml:space="preserve">When Vanguard rams, deal 100% more damage, and take 30% less damage.</t>
      </text>
    </comment>
    <comment authorId="0" ref="V47">
      <text>
        <t xml:space="preserve">Every 20 seconds, 30% chance to evade all attacks for 6 seconds.</t>
      </text>
    </comment>
    <comment authorId="0" ref="U48">
      <text>
        <t xml:space="preserve">Increase own Torpedo stat by 30%
Increase own damage against DDs by 15%
Increase Torpedo stat for HMS DDs in fleet by 12%</t>
      </text>
    </comment>
    <comment authorId="0" ref="V48">
      <text>
        <t xml:space="preserve">Launch special barrage when launching first torpedoes per battle.</t>
      </text>
    </comment>
    <comment authorId="0" ref="U49">
      <text>
        <t xml:space="preserve">Increase own Firepower and Torpedo stats by 24%.  Every 12 seconds, lose 8% until down to base stats.</t>
      </text>
    </comment>
    <comment authorId="0" ref="U50">
      <text>
        <t xml:space="preserve">When firing, 5% chance to increase own Evasion by 60% for 8 seconds.</t>
      </text>
    </comment>
    <comment authorId="0" ref="U51">
      <text>
        <t xml:space="preserve">When firing, 5% chance to increase own Evasion by 60% for 8 seconds.</t>
      </text>
    </comment>
    <comment authorId="0" ref="U52">
      <text>
        <t xml:space="preserve">Once battle begins and every 15 seconds afterward, 30% chance to deploy smokescreen for 5 seconds.  Vanguard within smokescreen gain 40% additional Evasion.</t>
      </text>
    </comment>
    <comment authorId="0" ref="U53">
      <text>
        <t xml:space="preserve">Every 25 seconds, launch 3 torpedoes and heal for 20% damage inflicted.</t>
      </text>
    </comment>
    <comment authorId="0" ref="U54">
      <text>
        <t xml:space="preserve">Increase Evasion by 30% and Torpedo stat by 10% of all Tokugata DDs.
(Akatsuki, Ikazuchi, Inazuma, Ayanami, and Fubuki)</t>
      </text>
    </comment>
    <comment authorId="0" ref="U55">
      <text>
        <t xml:space="preserve">Increases this ship's TRP by 10%.
While there are other ships afloat in your Vanguard: increases your Vanguard's FP and Accuracy by 10%.</t>
      </text>
    </comment>
    <comment authorId="0" ref="V55">
      <text>
        <t xml:space="preserve">Increases this ship's DMG dealt to DDs by 10%.
When this ship fires her Torpedoes: 30% chance to launch a second wave of torpedoes.</t>
      </text>
    </comment>
    <comment authorId="0" ref="U56">
      <text>
        <t xml:space="preserve">When firing, 5% chance to increase own Torpedo stat by 60% for 12 seconds.</t>
      </text>
    </comment>
    <comment authorId="0" ref="U57">
      <text>
        <t xml:space="preserve">When firing, 5% chance to increase own Torpedo stat by 60% for 12 seconds.</t>
      </text>
    </comment>
    <comment authorId="0" ref="W57">
      <text>
        <t xml:space="preserve">Every 20 seconds, 70% chance to increase own evasion by 30% for 5 seconds while launching a powerful barrage.</t>
      </text>
    </comment>
    <comment authorId="0" ref="U58">
      <text>
        <t xml:space="preserve">When paired with other DesDiv 6 DDs, Firepower, Torpedo, and Reload stats increased by 15%
(Akatsuki, Hibiki, Inazuma, Ikazuchi)</t>
      </text>
    </comment>
    <comment authorId="0" ref="U59">
      <text>
        <t xml:space="preserve">When launching torpedoes, 30% chance to launch a second wave of torpedoes.
Once per battle, if this ship's HP drops below 20%, restores 20% of this ship's max HP.</t>
      </text>
    </comment>
    <comment authorId="0" ref="V59">
      <text>
        <t xml:space="preserve">When paired with other DesDiv 6 DDs, Firepower, Torpedo, and Reload stats increased by 15%
(Akatsuki, Hibiki, Inazuma, Ikazuchi)</t>
      </text>
    </comment>
    <comment authorId="0" ref="U60">
      <text>
        <t xml:space="preserve">When paired with other DesDiv 6 DDs, Firepower, Torpedo, and Reload stats increased by 15%
(Akatsuki, Hibiki, Inazuma, Ikazuchi)</t>
      </text>
    </comment>
    <comment authorId="0" ref="U61">
      <text>
        <t xml:space="preserve">When paired with other DesDiv 6 DDs, Firepower, Torpedo, and Reload stats increased by 15%
(Akatsuki, Hibiki, Inazuma, Ikazuchi)</t>
      </text>
    </comment>
    <comment authorId="0" ref="U62">
      <text>
        <t xml:space="preserve">Increase Torpedo stat of Vanguard fleet by 15%</t>
      </text>
    </comment>
    <comment authorId="0" ref="U63">
      <text>
        <t xml:space="preserve">When firing, 6% chance to increase own Firepower, Torpedo, Reload, and Evasion stats by 40% for 8 seconds.</t>
      </text>
    </comment>
    <comment authorId="0" ref="U64">
      <text>
        <t xml:space="preserve">Increase this ship's Firepower, Torpedo, Reload, and Evasion by 20%
Increase this ship's damage to ignited enemies by 15%
For 30 seconds after battle starts, increase Vanguard Torpedo Crit Rate by 10% and Torpedo Crit Damage by 25%</t>
      </text>
    </comment>
    <comment authorId="0" ref="W64">
      <text>
        <t xml:space="preserve">Increase this ship's Evasion RATE by 5% and decrease damage taken by cannons by 15%.
Every 20 seconds after battle starts, fire a special barrage that inflicts Burn (Skill-based damage)</t>
      </text>
    </comment>
    <comment authorId="0" ref="U65">
      <text>
        <t xml:space="preserve">When firing, 5% chance to increase Evasion by 60% for 8 seconds.</t>
      </text>
    </comment>
    <comment authorId="0" ref="U66">
      <text>
        <t xml:space="preserve">When firing, 5% chance to increase Evasion by 60% for 8 seconds.</t>
      </text>
    </comment>
    <comment authorId="0" ref="W66">
      <text>
        <t xml:space="preserve">With Yukikaze:
Increase own Torpedo stat by 15% and, every 20 seconds, 70% chance to launch a barrage.
Without Yukikaze:
While alive, decrease damage to other ships in fleet by 5%.  Once per battle, heal any allied ship for 10% max HP if they fall below 20% HP.</t>
      </text>
    </comment>
    <comment authorId="0" ref="U67">
      <text>
        <t xml:space="preserve">While alive, reduce damage taken by Main fleet by 8%.  Once per battle, when any Main fleet ship drops below 20% health, heal said ship for 10% of their max HP.</t>
      </text>
    </comment>
    <comment authorId="0" ref="V67">
      <text>
        <t xml:space="preserve">When taking damage, 25% chance to decrease damage to 1.</t>
      </text>
    </comment>
    <comment authorId="0" ref="U68">
      <text>
        <t xml:space="preserve">Increase Torpedo effectiveness of Vanguard fleet by 15%</t>
      </text>
    </comment>
    <comment authorId="0" ref="V68">
      <text>
        <t xml:space="preserve">30% chance to launch a second wave of torpedoes.</t>
      </text>
    </comment>
    <comment authorId="0" ref="U69">
      <text>
        <t xml:space="preserve">Increase Torpedo effectiveness of Vanguard fleet by 15%</t>
      </text>
    </comment>
    <comment authorId="0" ref="V69">
      <text>
        <t xml:space="preserve">30% chance to launch a second wave of torpedoes.</t>
      </text>
    </comment>
    <comment authorId="0" ref="W69">
      <text>
        <t xml:space="preserve">Every 20 seconds, 25% chance to lower an enemy's Reload and Damage for 10 seconds.  Prioritizes elite (shipgirl) enemies.</t>
      </text>
    </comment>
    <comment authorId="0" ref="U70">
      <text>
        <t xml:space="preserve">30% chance to launch a second wave of torpedoes.</t>
      </text>
    </comment>
    <comment authorId="0" ref="U71">
      <text>
        <t xml:space="preserve">30% chance to launch a second wave of torpedoes.</t>
      </text>
    </comment>
    <comment authorId="0" ref="W71">
      <text>
        <t xml:space="preserve">While alive, reduce damage taken by CVs and CVLs by 15%</t>
      </text>
    </comment>
    <comment authorId="0" ref="U72">
      <text>
        <t xml:space="preserve">Every 20 seconds, gain a random effect for 10 seconds
30% chance to get 30% Evasion.
30% chance to get +20% Crit chance and +50% Crit damage.
40% to get 20% more damage taken.</t>
      </text>
    </comment>
    <comment authorId="0" ref="U73">
      <text>
        <t xml:space="preserve">30% chance to launch a second wave of torpedoes.</t>
      </text>
    </comment>
    <comment authorId="0" ref="U74">
      <text>
        <t xml:space="preserve">30% chance to launch a second wave of torpedoes.</t>
      </text>
    </comment>
    <comment authorId="0" ref="W74">
      <text>
        <t xml:space="preserve">Increase Torpedo stat of all DDs in fleet by 15%</t>
      </text>
    </comment>
    <comment authorId="0" ref="U75">
      <text>
        <t xml:space="preserve">30% chance to launch a second wave of torpedoes.</t>
      </text>
    </comment>
    <comment authorId="0" ref="U76">
      <text>
        <t xml:space="preserve">30% chance to launch a second wave of torpedoes.</t>
      </text>
    </comment>
    <comment authorId="0" ref="U77">
      <text>
        <t xml:space="preserve">30% chance to launch a second wave of torpedoes.</t>
      </text>
    </comment>
    <comment authorId="0" ref="W77">
      <text>
        <t xml:space="preserve">Reduce damage taken by Main Fleet by 15%</t>
      </text>
    </comment>
    <comment authorId="0" ref="U78">
      <text>
        <t xml:space="preserve">30% chance to launch a second wave of torpedoes.</t>
      </text>
    </comment>
    <comment authorId="0" ref="U79">
      <text>
        <t xml:space="preserve">30% chance to launch a second wave of torpedoes.</t>
      </text>
    </comment>
    <comment authorId="0" ref="W79">
      <text>
        <t xml:space="preserve">Increase Damage of airstrikes by CVs and CVLs by 15% while alive.</t>
      </text>
    </comment>
    <comment authorId="0" ref="U80">
      <text>
        <t xml:space="preserve">While alive, reduce damage taken by CVs and CVLs by 15%</t>
      </text>
    </comment>
    <comment authorId="0" ref="U81">
      <text>
        <t xml:space="preserve">While alive, reduce damage taken by CVs and CVLs by 15%</t>
      </text>
    </comment>
    <comment authorId="0" ref="W81">
      <text>
        <t xml:space="preserve">Increase Damage of airstrikes by CVs and CVLs by 15% while alive.</t>
      </text>
    </comment>
    <comment authorId="0" ref="U82">
      <text>
        <t xml:space="preserve">Every 20 seconds, 60% chance to increase own Firepower by 40% for 10 seconds.</t>
      </text>
    </comment>
    <comment authorId="0" ref="V82">
      <text>
        <t xml:space="preserve">30% chance to launch a second wave of torpedoes.</t>
      </text>
    </comment>
    <comment authorId="0" ref="U83">
      <text>
        <t xml:space="preserve">Every 20 seconds, 60% chance to increase own Firepower by 40% for 10 seconds.</t>
      </text>
    </comment>
    <comment authorId="0" ref="V83">
      <text>
        <t xml:space="preserve">30% chance to launch a second wave of torpedoes.</t>
      </text>
    </comment>
    <comment authorId="0" ref="U84">
      <text>
        <t xml:space="preserve">Increase Firepower and Evasion of Z-class ships by 40%</t>
      </text>
    </comment>
    <comment authorId="0" ref="U85">
      <text>
        <t xml:space="preserve">Increase Firepower and Evasion of Z-class ships by 40%</t>
      </text>
    </comment>
    <comment authorId="0" ref="W85">
      <text>
        <t xml:space="preserve">Every 20 seconds, 80% chance to launch a barrage, increasing own crit damage by 50%, and reducing aviation damage taken by vanguard by 30% for 10 seconds.</t>
      </text>
    </comment>
    <comment authorId="0" ref="U86">
      <text>
        <t xml:space="preserve">When firing, 5% chance to increase own Firepower 60% for 8 seconds.</t>
      </text>
    </comment>
    <comment authorId="0" ref="U87">
      <text>
        <t xml:space="preserve">When firing, 5% chance to increase own Firepower 60% for 8 seconds.</t>
      </text>
    </comment>
    <comment authorId="0" ref="W87">
      <text>
        <t xml:space="preserve">Every 20 seconds, 70% chance to release a powerful barrage and spawn 2 rotating shields that can block 5 enemy shells each, fire 4 torpedoes, and +100% crit rate for 10 seconds.</t>
      </text>
    </comment>
    <comment authorId="0" ref="U88">
      <text>
        <t xml:space="preserve">Every 20 seconds, 60% chance to increase own Firepower by 40% for 10 seconds.</t>
      </text>
    </comment>
    <comment authorId="0" ref="V88">
      <text>
        <t xml:space="preserve">Reduce flagship damage taken by 25%</t>
      </text>
    </comment>
    <comment authorId="0" ref="U89">
      <text>
        <t xml:space="preserve">Increase Accuracy and Firepower by 25% and Evasion 10% for An Shan-class ships.</t>
      </text>
    </comment>
    <comment authorId="0" ref="U90">
      <text>
        <t xml:space="preserve">Increase own main gun crit rate by 20%</t>
      </text>
    </comment>
    <comment authorId="0" ref="U91">
      <text>
        <t xml:space="preserve">Increase Firepower, Reload, and Accuracy by 12% for North Union and Eastern Radiance ships. </t>
      </text>
    </comment>
    <comment authorId="0" ref="U92">
      <text>
        <t xml:space="preserve">Increase own Firepower and Reload by 25% and Evasion by 10% when in a full fleet of 6 ships.</t>
      </text>
    </comment>
    <comment authorId="0" ref="U93">
      <text>
        <t xml:space="preserve">Once battle begins and every 15 seconds afterward, 30% chance to deploy smokescreen for 5 seconds.  Vanguard within smokescreen gain 40% additional Evasion.</t>
      </text>
    </comment>
    <comment authorId="0" ref="U94">
      <text>
        <t xml:space="preserve">Once battle begins and every 15 seconds afterward, 30% chance to deploy smokescreen for 5 seconds.  Vanguard within smokescreen gain 40% additional Evasion.</t>
      </text>
    </comment>
    <comment authorId="0" ref="W94">
      <text>
        <t xml:space="preserve">Every 20 seconds, 25% chance to lower an enemy's Reload and Damage for 10 seconds.  Prioritizes elite (shipgirl) enemies.</t>
      </text>
    </comment>
    <comment authorId="0" ref="U95">
      <text>
        <t xml:space="preserve">Increase AP damage by 25%</t>
      </text>
    </comment>
    <comment authorId="0" ref="U96">
      <text>
        <t xml:space="preserve">Increase AP damage by 25%</t>
      </text>
    </comment>
    <comment authorId="0" ref="U97">
      <text>
        <t xml:space="preserve">Increase AP damage by 25%</t>
      </text>
    </comment>
    <comment authorId="0" ref="U98">
      <text>
        <t xml:space="preserve">Increase AP damage by 25%</t>
      </text>
    </comment>
    <comment authorId="0" ref="V98">
      <text>
        <t xml:space="preserve">Increase own Firepower by 15% of own Anti-Air for 8 seconds when an enemy plane is destroyed in the AA radius.</t>
      </text>
    </comment>
    <comment authorId="0" ref="U99">
      <text>
        <t xml:space="preserve">When firing torpedoes, fire a special barrage and a slashing attack.
Enemies hit with the slashing attack take 8% increase Damage from this ship for 3 seconds, and causes a unique flood on enemies for 6 seconds to enemies hit by this ship's torpedoes.</t>
      </text>
    </comment>
    <comment authorId="0" ref="V99">
      <text>
        <t xml:space="preserve">At the start of battle, and when this ship's torpedoes finish loading;
For 10 seconds, decrease this ship's Damage Taken by 15%, increase her Damage Dealt with Torpedoes by 12%, and increase Vanguard's Speed by 3.  (Can't be stacked, but can be refreshed.)</t>
      </text>
    </comment>
    <comment authorId="0" ref="W99">
      <text>
        <t xml:space="preserve">Increase this ship's Accuracy by 15% and decrease Torpedo Damage Taken by 10%
While this ship is afloat, in fleets this ship is NOT in:
1.  30 Second after their battle starts, fire a supporting Torpedo barrage (Skill-based damage)
2.  If that fleet has 1 or more DDs, increase DD Torpedo stat by 10% until battle ends.</t>
      </text>
    </comment>
    <comment authorId="0" ref="U100">
      <text>
        <t xml:space="preserve">When firing, 4% chance to increase own Evasion 50% and 8 seconds.</t>
      </text>
    </comment>
    <comment authorId="0" ref="U101">
      <text>
        <t xml:space="preserve">When firing, 4% chance to increase own Evasion 50% and 8 seconds.</t>
      </text>
    </comment>
    <comment authorId="0" ref="W101">
      <text>
        <t xml:space="preserve">When hit/miss by a torpedo, 30% chance to decrease torpedo damage taken by 50% and increase own Torpedo stat by 50% for 4 seconds.</t>
      </text>
    </comment>
    <comment authorId="0" ref="U102">
      <text>
        <t xml:space="preserve">Every 20 seconds, 60% chance to increase own reload by 40% for 10 seconds.</t>
      </text>
    </comment>
    <comment authorId="0" ref="U103">
      <text>
        <t xml:space="preserve">Every 20 seconds, 60% chance to increase own reload by 40% for 10 seconds.</t>
      </text>
    </comment>
    <comment authorId="0" ref="W103">
      <text>
        <t xml:space="preserve">Every 20 seconds, 30% chance to evade all attacks for 6 seconds.</t>
      </text>
    </comment>
    <comment authorId="0" ref="U104">
      <text>
        <t xml:space="preserve">Every 20 seconds, 60% chance to increase own reload by 40% for 10 seconds.</t>
      </text>
    </comment>
    <comment authorId="0" ref="U105">
      <text>
        <t xml:space="preserve">Every 20 seconds, 60% chance to increase own reload by 40% for 10 seconds.</t>
      </text>
    </comment>
    <comment authorId="0" ref="W105">
      <text>
        <t xml:space="preserve">Increase Torpedo stat of all DDs in fleet by 15%</t>
      </text>
    </comment>
    <comment authorId="0" ref="U106">
      <text>
        <t xml:space="preserve">Every 20 seconds, 60% chance to increase own reload by 40% for 10 seconds.</t>
      </text>
    </comment>
    <comment authorId="0" ref="U107">
      <text>
        <t xml:space="preserve">Every 20 seconds, 60% chance to increase own reload by 40% for 10 seconds.</t>
      </text>
    </comment>
    <comment authorId="0" ref="W107">
      <text>
        <t xml:space="preserve">30% chance to launch a second wave of torpedoes.</t>
      </text>
    </comment>
    <comment authorId="0" ref="U108">
      <text>
        <t xml:space="preserve">Every 20 seconds, 60% chance to increase own reload by 40% for 10 seconds.</t>
      </text>
    </comment>
    <comment authorId="0" ref="U109">
      <text>
        <t xml:space="preserve">Every 20 seconds, 60% chance to increase own reload by 40% for 10 seconds.</t>
      </text>
    </comment>
    <comment authorId="0" ref="U110">
      <text>
        <t xml:space="preserve">Every 20 seconds, 60% chance to increase own reload by 40% for 10 seconds.</t>
      </text>
    </comment>
    <comment authorId="0" ref="U111">
      <text>
        <t xml:space="preserve">Every 20 seconds, 60% chance to increase own reload by 40% for 10 seconds.</t>
      </text>
    </comment>
    <comment authorId="0" ref="U112">
      <text>
        <t xml:space="preserve">Every 20 seconds, 60% chance to increase own reload by 40% for 10 seconds.</t>
      </text>
    </comment>
    <comment authorId="0" ref="U113">
      <text>
        <t xml:space="preserve">While afloat, increases your DDs' and CLs' Accuracy and Torp Crit Rate by 10%</t>
      </text>
    </comment>
    <comment authorId="0" ref="V113">
      <text>
        <t xml:space="preserve">When launching Torpedoes, increase this ship's Evasion by 15% and decreases this ship's Torpedo Damage Taken by 15% for 10 seconds.</t>
      </text>
    </comment>
    <comment authorId="0" ref="U114">
      <text>
        <t xml:space="preserve">Increase this ship's Firepower and ASW by 15%.
Increase this ship's Damage Dealt to Submarines by 20% but increases Damage Taken by Submarines by 5%.
If there are 3 ships in the Vanguard when battle starts, increase this ship's Torpedo stat by 10%</t>
      </text>
    </comment>
    <comment authorId="0" ref="V114">
      <text>
        <t xml:space="preserve">Increase Torpedo stat of all DDs in fleet by 15%</t>
      </text>
    </comment>
    <comment authorId="0" ref="U115">
      <text>
        <t xml:space="preserve">Increase allied Sakura DD damage done to cruisers by 15%</t>
      </text>
    </comment>
    <comment authorId="0" ref="V115">
      <text>
        <t xml:space="preserve">Own torpedo damage ignores enemy armor, will always inflict 115% damage</t>
      </text>
    </comment>
    <comment authorId="0" ref="U116">
      <text>
        <t xml:space="preserve">Every 20 seconds, 60% chance to increase own Firepower by 40% for 10 seconds.</t>
      </text>
    </comment>
    <comment authorId="0" ref="V116">
      <text>
        <t xml:space="preserve">Fires a wave of torpedoes based on equipped torpedoes 10 seconds after a battle starts, and 25% chance to launch again every 20 seconds afterward.</t>
      </text>
    </comment>
    <comment authorId="0" ref="U117">
      <text>
        <t xml:space="preserve">Every 20 seconds, 25% chance to increase entire fleet's Reload by 25% for 8 seconds.</t>
      </text>
    </comment>
    <comment authorId="0" ref="V117">
      <text>
        <t xml:space="preserve">When firing AA guns, 25% chance to increase own AA by 40% but decrease Firepower by 20% for 3 seconds.</t>
      </text>
    </comment>
    <comment authorId="0" ref="U118">
      <text>
        <t xml:space="preserve">When shooting down an enemy plane, increase Firepower and AA by 25% for 8 seconds.  Skill does not stack, but does refresh.</t>
      </text>
    </comment>
    <comment authorId="0" ref="U119">
      <text>
        <t xml:space="preserve">When shooting down an enemy plane, increase Firepower and AA by 25% for 8 seconds.  Skill does not stack, but does refresh.</t>
      </text>
    </comment>
    <comment authorId="0" ref="U120">
      <text>
        <t xml:space="preserve">Every 20 seconds, 60% chance to increase own Firepower by 40% for 10 seconds.</t>
      </text>
    </comment>
    <comment authorId="0" ref="U121">
      <text>
        <t xml:space="preserve">Every 20 seconds, 60% chance to increase own Firepower by 40% for 10 seconds.</t>
      </text>
    </comment>
    <comment authorId="0" ref="U122">
      <text>
        <t xml:space="preserve">When firing, 5% chance to increase own Evasion by 40% and decrease air damage received by 40% for 8 seconds.</t>
      </text>
    </comment>
    <comment authorId="0" ref="V122">
      <text>
        <t xml:space="preserve">Every 20 seconds, 60% chance to increase own Firepower by 40% for 10 seconds.</t>
      </text>
    </comment>
    <comment authorId="0" ref="U123">
      <text>
        <t xml:space="preserve">When firing, 5% chance to increase own Evasion by 40% and decrease air damage received by 40% for 8 seconds.</t>
      </text>
    </comment>
    <comment authorId="0" ref="V123">
      <text>
        <t xml:space="preserve">Every 20 seconds, 60% chance to increase own Firepower by 40% for 10 seconds.</t>
      </text>
    </comment>
    <comment authorId="0" ref="W123">
      <text>
        <t xml:space="preserve">Every 20 seconds, 70% chance to increase Firepower, Torpedo, and Reload stats by 40% for 10 seconds.
Once per battle, if a Vanguard ship falls below 20%, decrease damage that ship takes by 15%.  If the ship is Helena, additionally heal 8% of Helena's max Health.</t>
      </text>
    </comment>
    <comment authorId="0" ref="U124">
      <text>
        <t xml:space="preserve">While alive, reduce damage taken by allied BB/BC by 15%</t>
      </text>
    </comment>
    <comment authorId="0" ref="U125">
      <text>
        <t xml:space="preserve">When sortied with other J-class DDs, reduce damage taken by other J-class DDs by 20%, but takes 20% more damage herself.</t>
      </text>
    </comment>
    <comment authorId="0" ref="U126">
      <text>
        <t xml:space="preserve">When an allied ship's HP falls to 0, 60% chance to restore own HP by 8% and allied fleet ships by 3%</t>
      </text>
    </comment>
    <comment authorId="0" ref="U127">
      <text>
        <t xml:space="preserve">Increase own Firepower, Torpedo, Reload, and AA stats by 10% when in the same fleet as Hamakaze.</t>
      </text>
    </comment>
    <comment authorId="0" ref="U128">
      <text>
        <t xml:space="preserve">When an allied ship's HP falls to 0, 60% chance to restore own HP by 8% and allied fleet ships by 3%</t>
      </text>
    </comment>
    <comment authorId="0" ref="U129">
      <text>
        <t xml:space="preserve">When an allied ship's HP falls to 0, 60% chance to restore own HP by 8% and allied fleet ships by 3%</t>
      </text>
    </comment>
    <comment authorId="0" ref="W129">
      <text>
        <t xml:space="preserve">Every 20 seconds, 30% chance to evade all attacks for 6 seconds.</t>
      </text>
    </comment>
    <comment authorId="0" ref="U130">
      <text>
        <t xml:space="preserve">When the only ship left alive in Vanguard, Increase own Evasion by 10% and reduce damage taken from airstrikes by 50%</t>
      </text>
    </comment>
    <comment authorId="0" ref="U131">
      <text>
        <t xml:space="preserve">When the only ship left alive in Vanguard, Increase own Evasion by 10% and reduce damage taken from airstrikes by 50%</t>
      </text>
    </comment>
    <comment authorId="0" ref="W131">
      <text>
        <t xml:space="preserve">When torps hit an enemy, 17% chance to increase Torpedo damage dealt to targeted enemy ship by 40% for 8 seconds.</t>
      </text>
    </comment>
    <comment authorId="0" ref="U132">
      <text>
        <t xml:space="preserve">When torps hit an enemy, 17% chance to increase Torpedo damage dealt to targeted enemy ship by 40% for 8 seconds.</t>
      </text>
    </comment>
    <comment authorId="0" ref="V132">
      <text>
        <t xml:space="preserve">Every 20 seconds, 25% chance to lower an enemy's Reload and Damage for 10 seconds.  Prioritizes elite (shipgirl) enemies.</t>
      </text>
    </comment>
    <comment authorId="0" ref="U133">
      <text>
        <t xml:space="preserve">Every 20 seconds, increase own damage inflicted with Torpedoes by 12%.  Stacks 8 times.</t>
      </text>
    </comment>
    <comment authorId="0" ref="U134">
      <text>
        <t xml:space="preserve">Increase Firepower and Reload 15% and Torpedo stats by 8% for Div 8 DDs.
(Asashio, Ooshio, Michishio, Arashio)</t>
      </text>
    </comment>
    <comment authorId="0" ref="V134">
      <text>
        <t xml:space="preserve">Increase own Accuracy by 20% against enemy destroyers and decrease torp damage from enemy destroyers by 20%</t>
      </text>
    </comment>
    <comment authorId="0" ref="U135">
      <text>
        <t xml:space="preserve">Increase own Accuracy by 20% against enemy destroyers and decrease torp damage from enemy destroyers by 20%</t>
      </text>
    </comment>
    <comment authorId="0" ref="U136">
      <text>
        <t xml:space="preserve">While alive, reduce damage taken by allied BB/BC by 15%</t>
      </text>
    </comment>
    <comment authorId="0" ref="U137">
      <text>
        <t xml:space="preserve">Decreases Vanguard's damage taken from ramming by 50%</t>
      </text>
    </comment>
    <comment authorId="0" ref="U138">
      <text>
        <t xml:space="preserve">Every 20 seconds, 70% chance to increase Firepower 50%, and Reload by 200% for 10 seconds.  After buff duration, decrease Reload by 100% for 3 seconds.</t>
      </text>
    </comment>
    <comment authorId="0" ref="U139">
      <text>
        <t xml:space="preserve">Increase AP damage by 25%</t>
      </text>
    </comment>
    <comment authorId="0" ref="U140">
      <text>
        <t xml:space="preserve">When main gun damages same target, own Reload increased by 40%.  Stacks 4 times and only activates once a second.  If target is switched, buff is cancelled.</t>
      </text>
    </comment>
    <comment authorId="0" ref="V140">
      <text>
        <t xml:space="preserve">When lead ship, main gun efficiency increased by 20% and AA gun efficiency decreased by 30%</t>
      </text>
    </comment>
    <comment authorId="0" ref="U141">
      <text>
        <t xml:space="preserve">When Vanguard consists only of French ships, every 20 seconds, 50% chance to decrease entire fleet's damage received by 30% for 8 seconds.</t>
      </text>
    </comment>
    <comment authorId="0" ref="U142">
      <text>
        <t xml:space="preserve">When Vanguard consists only of French ships, every 20 seconds, 50% chance to decrease entire fleet's damage received by 30% for 8 seconds.</t>
      </text>
    </comment>
    <comment authorId="0" ref="W142">
      <text>
        <t xml:space="preserve">Every 20 seconds, 30% chance to evade all attacks for 6 seconds.</t>
      </text>
    </comment>
    <comment authorId="0" ref="U143">
      <text>
        <t xml:space="preserve">When Vanguard consists only of French ships, every 20 seconds, 50% chance to increase entire fleet's damage by 25% for 8 seconds.</t>
      </text>
    </comment>
    <comment authorId="0" ref="U144">
      <text>
        <t xml:space="preserve">When Vanguard consists only of French ships, every 20 seconds, 50% chance to increase entire fleet's damage by 25% for 8 seconds.</t>
      </text>
    </comment>
    <comment authorId="0" ref="W144">
      <text>
        <t xml:space="preserve">Every 20 seconds, 30% chance to evade all attacks for 6 seconds.</t>
      </text>
    </comment>
    <comment authorId="0" ref="U145">
      <text>
        <t xml:space="preserve">Increase own AA by 15%</t>
      </text>
    </comment>
    <comment authorId="0" ref="U146">
      <text>
        <t xml:space="preserve">When lead ship, decrease own AA by 40% and Accuracy by 5%, while increasing own Evasion by 12%, Firepower by 25%, and Speed by 3.</t>
      </text>
    </comment>
    <comment authorId="0" ref="V146">
      <text>
        <t xml:space="preserve">While alive, reduce damage received by main fleet by 8%, reduce own damage received from DDs and CLs guns and torpedoes by 10%.</t>
      </text>
    </comment>
    <comment authorId="0" ref="U147">
      <text>
        <t xml:space="preserve">15 seconds after battle begins, increase entire fleet's Firepower, Reload, and Evasion by 6% for 20 seconds.</t>
      </text>
    </comment>
    <comment authorId="0" ref="U148">
      <text>
        <t xml:space="preserve">When launching Torpedoes, 40% chance to evade all attacks for 5 seconds.</t>
      </text>
    </comment>
    <comment authorId="0" ref="U149">
      <text>
        <t xml:space="preserve">Increase Damage of airstrikes by CVs and CVLs by 15% while alive.</t>
      </text>
    </comment>
    <comment authorId="0" ref="U150">
      <text>
        <t xml:space="preserve">While alive, reduce damage received by main fleet 8%.  Reduce DD and CL gun and torp damage dealt to Hatakaze by 10%</t>
      </text>
    </comment>
    <comment authorId="0" ref="U151">
      <text>
        <t xml:space="preserve">Every 20 seconds, 60% chance to increase own Firepower by 40% for 10 seconds.</t>
      </text>
    </comment>
    <comment authorId="0" ref="V151">
      <text>
        <t xml:space="preserve">30% chance to launch a second wave of torpedoes.</t>
      </text>
    </comment>
    <comment authorId="0" ref="U152">
      <text>
        <t xml:space="preserve">Increase own AA by 15%</t>
      </text>
    </comment>
    <comment authorId="0" ref="U153">
      <text>
        <t xml:space="preserve">Decrease damage from fire by 15% and duration of fire by 3 seconds.  If damaged below 25% HP, increase Evasion by 30% for 10 seconds.  Only triggers once per battle.</t>
      </text>
    </comment>
    <comment authorId="0" ref="U154">
      <text>
        <t xml:space="preserve">Increase AP damage by 25%</t>
      </text>
    </comment>
    <comment authorId="0" ref="V154">
      <text>
        <t xml:space="preserve">After firing 10 times, increase own Reload by 5% and barrage damage by 40%.  Can stack up to 4 times.</t>
      </text>
    </comment>
    <comment authorId="0" ref="U155">
      <text>
        <t xml:space="preserve">Once battle begins and every 20 seconds afterward, launch special barrage and increase own Firepower and Torpedo stats by 24%.
Over the 20 seconds the effect will slowly decrease back to 0%.</t>
      </text>
    </comment>
    <comment authorId="0" ref="U156">
      <text>
        <t xml:space="preserve">While alive, reduce damage taken by allied BB/BC by 15%</t>
      </text>
    </comment>
    <comment authorId="0" ref="U157">
      <text>
        <t xml:space="preserve">Increase own damage dealt to an enemy by 12% when hit 10 times by main gun.
Destroying an enemy increases own Firepower by 2%.  Can stack 10 times.</t>
      </text>
    </comment>
    <comment authorId="0" ref="V157">
      <text>
        <t xml:space="preserve">Increase own Torpedo and Evasion stats by 20% for 30 seconds after battle starts.  Afterward, buff decreases to 0% over 20 seconds.</t>
      </text>
    </comment>
    <comment authorId="0" ref="U158">
      <text>
        <t xml:space="preserve">When HP drops below 80%, increase own Firepower and Torpedo stats by up to 40 based on remaining HP.
When HP drops below 30%, increase own AA by 12%</t>
      </text>
    </comment>
    <comment authorId="0" ref="V158">
      <text>
        <t xml:space="preserve">While alive, reduce damage taken by Main Fleet by 8%.
Reduce own damage taken by CL and DD gun and torpedo damage by 10%.
This skill doesn't stack with similar skill effects.</t>
      </text>
    </comment>
    <comment authorId="0" ref="U159">
      <text>
        <t xml:space="preserve">While alive, reduce damage taken by CVs and CVLs by 15%</t>
      </text>
    </comment>
    <comment authorId="0" ref="U160">
      <text>
        <t xml:space="preserve">Reduce Aviation damage taken by 30%.
Firing AA guns has a 25% chance to increase own AA by 30% for 8 seconds.</t>
      </text>
    </comment>
    <comment authorId="0" ref="U161">
      <text>
        <t xml:space="preserve">When firing AA guns, 25% chance to increase own AA by 40% but decrease Firepower by 20% for 3 seconds.</t>
      </text>
    </comment>
    <comment authorId="0" ref="U162">
      <text>
        <t xml:space="preserve">First three torpedo launches per battle will do 50% more damage.</t>
      </text>
    </comment>
    <comment authorId="0" ref="V162">
      <text>
        <t xml:space="preserve">When placed at rear of a full Vanguard: Every 20 seconds, 70% chance to increase own damage dealt by 15% and increase damage dealt by lead Vanguard ship by 15% for 10 seconds.</t>
      </text>
    </comment>
    <comment authorId="0" ref="U163">
      <text>
        <t xml:space="preserve">Reduce damage taken by Main Fleet by 15%</t>
      </text>
    </comment>
    <comment authorId="0" ref="U164">
      <text>
        <t xml:space="preserve">With a at least one other Vanguard ship in the fleet, increase Torpedo stat of Sakura Vanguard ships by 15%.</t>
      </text>
    </comment>
    <comment authorId="0" ref="V164">
      <text>
        <t xml:space="preserve">Every 20 seconds, 30% chance to evade all attacks for 6 seconds.</t>
      </text>
    </comment>
    <comment authorId="0" ref="U165">
      <text>
        <t xml:space="preserve">With a at least one other Vanguard ship in the fleet, increase Torpedo stat of Sakura Vanguard ships by 15%, decrease this ship's Damage taken by 5%, and every 20 seconds after battle starts, 70% chance to fire a barrage.</t>
      </text>
    </comment>
    <comment authorId="0" ref="V165">
      <text>
        <t xml:space="preserve">Every 20 seconds, 30% chance to evade all attacks for 6 seconds.</t>
      </text>
    </comment>
    <comment authorId="0" ref="U166">
      <text>
        <t xml:space="preserve">At the start of battle and every 30 seconds afterward, increase this ship's AA and ASW by 15% for 20 seconds.</t>
      </text>
    </comment>
    <comment authorId="0" ref="U167">
      <text>
        <t xml:space="preserve">Increase own Accuracy by 20% against enemy destroyers and decrease torp damage from enemy destroyers by 20%</t>
      </text>
    </comment>
    <comment authorId="0" ref="V167">
      <text>
        <t xml:space="preserve">When an allied ship's HP falls to 0, 60% chance to restore own HP by 8% and allied fleet ships by 3%</t>
      </text>
    </comment>
    <comment authorId="0" ref="U168">
      <text>
        <t xml:space="preserve">Every 20 seconds, 60% chance to increase own Firepower by 40% for 10 seconds.</t>
      </text>
    </comment>
    <comment authorId="0" ref="V168">
      <text>
        <t xml:space="preserve">Increase own AA by 15%</t>
      </text>
    </comment>
    <comment authorId="0" ref="U169">
      <text>
        <t xml:space="preserve">Decrease this ship's damage taken from DD guns and Torpedoes by 10%
Every 20 seconds, increase this ship's speed by 5 and Firepower by 20% for 10 seconds</t>
      </text>
    </comment>
    <comment authorId="0" ref="V169">
      <text>
        <t xml:space="preserve">Once battle begins and every 15 seconds afterward, 30% chance to deploy smokescreen for 5 seconds.  Vanguard within smokescreen gain 40% additional Evasion.</t>
      </text>
    </comment>
    <comment authorId="0" ref="U170">
      <text>
        <t xml:space="preserve">At the start of battle, Increase this ship's Firepower by 10%, and spawns a Snezhinka, a summon that fights for 50 seconds and reduces speed of enemies hit by it (??????)
When this ship sinks an enemy, increase Firepower by 2%, can stack 5 times.</t>
      </text>
    </comment>
    <comment authorId="0" ref="V170">
      <text>
        <t xml:space="preserve">Increase Main Gun Efficiency by 10% and Accuracy by 15% for all Northern Parliament DDs that have a Northern Parliament main gun equipped.</t>
      </text>
    </comment>
    <comment authorId="0" ref="U171">
      <text>
        <t xml:space="preserve">Every 20 seconds, launch a seaplane airstrike, increasing this ship's Firepower by 15%, revealing enemy subs, and increasing the damage enemy subs take by 10% for 10 seconds.
Once per battle, if equipped with the PBY-5A Catalina, when HP falls below 40%, launches a special seaplane airstrike.</t>
      </text>
    </comment>
    <comment authorId="0" ref="U172">
      <text>
        <t xml:space="preserve">When shooting down an enemy plane, increase Firepower and AA by 25% for 8 seconds.  Skill does not stack, but does refresh.</t>
      </text>
    </comment>
    <comment authorId="0" ref="U173">
      <text>
        <t xml:space="preserve">10 Seconds after battle starts, launch torpedoes based on equipped torpedoes.  Every 20 seconds after that first wave, 25% chance to fire another wave.</t>
      </text>
    </comment>
    <comment authorId="0" ref="V173">
      <text>
        <t xml:space="preserve">If this ship is in the center of a full Vanguard, increase Torpedo by 15% and Torp Crit Rate by 10% for your DDs and CLs, and increase Evasion of your DDs by 15%</t>
      </text>
    </comment>
    <comment authorId="0" ref="U174">
      <text>
        <t xml:space="preserve">If there's an Iris or Vichya CA/CL in your fleet, increase this ship's Firepower and Evasion by 15%, and increase the Firepower and AA by 8% for your Iris/Vichya CAs/CLs.</t>
      </text>
    </comment>
    <comment authorId="0" ref="U175">
      <text>
        <t xml:space="preserve">All Vauquelin-class ships get 15% more Torpedo and Evasion.
Increase this ship's Firepower, AA, and Accuracy by 12% for the first 30 seconds of each battle.</t>
      </text>
    </comment>
    <comment authorId="0" ref="U176">
      <text>
        <t xml:space="preserve">Fires a barrage every 30 seconds.
Once per battle, if this ship's HP falls below 30%, restore 10% HP and fire a special barrage. </t>
      </text>
    </comment>
    <comment authorId="0" ref="U177">
      <text>
        <t xml:space="preserve">5 Seconds after the start of battle, fire a barrage.  70% chance of firing the barrage again every 30 seconds after the start of battle.</t>
      </text>
    </comment>
    <comment authorId="0" ref="V177">
      <text>
        <t xml:space="preserve">At the start of battle and every 20 seconds afterward;
For 10 seconds, reduce Torpedo damage taken by 20% and change the launch pattern of equipped torpedoes.</t>
      </text>
    </comment>
    <comment authorId="0" ref="U178">
      <text>
        <t xml:space="preserve">Spawns a shield 10 seconds after battle starts that can block up to 3 torpedo attacks and lasts for 20 seconds.
When destroyed or expired, launch a torpedo barrage and spawn the shield again after 30 seconds.</t>
      </text>
    </comment>
    <comment authorId="0" ref="V178">
      <text>
        <t xml:space="preserve">Every 20 seconds, 60% chance to increase own Firepower by 40% for 10 seconds.</t>
      </text>
    </comment>
    <comment authorId="0" ref="U179">
      <text>
        <t xml:space="preserve">For every Sakura ship in the fleet at the start of battle, increase this ship's Firepower and AA by 5%.
For every 2 planes shot down in the AA circle, gain another stack of this buff, and can stack up to 6 times.</t>
      </text>
    </comment>
    <comment authorId="0" ref="V179">
      <text>
        <t xml:space="preserve">Deploy a smokescreen and fire a barrage 3 seconds after battle starts. Smokescreen lasts for 5 seconds and friendly ships gain +40% Evasion RATE while in the smokescreen.
Every 15 seconds, fires the barrage again, and has a 30% chance to deploy another smokescreen.
Once per battle, if HP falls under 20%, heals 15% of this ship's max HP.</t>
      </text>
    </comment>
    <comment authorId="0" ref="U180">
      <text>
        <t xml:space="preserve">At the start of battle, fires a special barrage and spawns Snezhinka, a summon that fights for 50 seconds and inflicts a 5% Aviation damage taken debuff to all enemies it hits 10 times.  (Skill-based damage)</t>
      </text>
    </comment>
    <comment authorId="0" ref="V180">
      <text>
        <t xml:space="preserve">For the first, second and third battles this ship participates in, increase this ship's Firepower by 12%.
From the fourth battle onwards, instead increase this ship's AA by 12%.</t>
      </text>
    </comment>
    <comment authorId="0" ref="U181">
      <text>
        <t xml:space="preserve">Every 20 seconds after battle starts, this ship stops moving for 3 seconds and summons an Iris Angels Airwing to attack (Skill-and Torpedo-based damage).
This skill has a 50% chance to heal this ship for 3% of its max HP when activated.</t>
      </text>
    </comment>
    <comment authorId="0" ref="V181">
      <text>
        <t xml:space="preserve">Increase this ship's Firepower by 20%, and another 3% whenever this ship sinks an enemy (Can stack 3 times)
Decrease this ship's damage taken by 5% and, every 25 seconds, heals all DDs in the same fleet for 3% of their max HP.</t>
      </text>
    </comment>
    <comment authorId="0" ref="U182">
      <text>
        <t xml:space="preserve">Increase this ship's damage vs DDs/CLs by 15%.
Once per battle, if the HP of a Z-class ship (Besides this ship) falls below 30%, decrease that ship's damage taken by 30% and increase this ship's Firepower, Torpedo, and Reload by 15% until the end of battle.</t>
      </text>
    </comment>
    <comment authorId="0" ref="V182">
      <text>
        <t xml:space="preserve">At the start of battle, and every 20 seconds afterward, fire a special barrage.  (Skill-based damage).
When this ship sinks an enemy, increase this ship's Firepower and Torpedo by ?? until the end of battle.  Can stack 5 times.</t>
      </text>
    </comment>
    <comment authorId="0" ref="U183">
      <text>
        <t xml:space="preserve">Increase Firepower and Accuracy by 10% and AA by 15% for your Z-class DDs.
If there's another Z-class DD in this ship's fleet, increase this ship's Firepower and Torpedo by 10% and ASW by 15%.</t>
      </text>
    </comment>
    <comment authorId="0" ref="V183">
      <text>
        <t xml:space="preserve">At the start of battle, fire a special barrage and deploy a smokescreen that increases Evasion RATE by 40% for your ships inside it and lasts for 5 seconds.
Smokescreen has a 30% chance to proc every 15 seconds after battle starts.
Special barrage has a 70% chance to fire again when the fleet's flagship takes damage (Skill-based damage).  20 second cooldown.</t>
      </text>
    </comment>
    <comment authorId="0" ref="U184">
      <text>
        <t xml:space="preserve">When this ship takes damage, increase this ship's Firepower and Evasion by 3%, stacking up to 5 times.
After reaching 5 stacks, fire a special barrage and increase this ship's speed by 5.
(30 Second cooldown, skill-based damage)</t>
      </text>
    </comment>
    <comment authorId="0" ref="V184">
      <text>
        <t xml:space="preserve">Every 15 seconds, 50% chance to increase Vanguard's Accuracy by 20% for 10 seconds.</t>
      </text>
    </comment>
    <comment authorId="0" ref="U185">
      <text>
        <t xml:space="preserve">10% chance to launch a special barrage when attacked.
Enemies hit by this barrage are slowed for 5 seconds.
(10 second cooldown, skill-based damage and pattern)</t>
      </text>
    </comment>
    <comment authorId="0" ref="V185">
      <text>
        <t xml:space="preserve">Decrease this ship's damage taken from DD guns and Torpedoes by 10%
Every 20 seconds, increase this ship's speed by 5 and Firepower by 20% for 10 seconds</t>
      </text>
    </comment>
    <comment authorId="0" ref="U186">
      <text>
        <t xml:space="preserve">For 30 seconds after battle starts, increase this ship's Speed by 5, and Firepower by 30%
Afterward, increase this ship's Evasion by 15%</t>
      </text>
    </comment>
    <comment authorId="0" ref="V186">
      <text>
        <t xml:space="preserve">Every 20 seconds, 25% chance to fire torpedoes (same torpedoes as those equipped on this ship) and evade all attacks for 3 seconds.</t>
      </text>
    </comment>
    <comment authorId="0" ref="U187">
      <text>
        <t xml:space="preserve">If there are other ships in the vanguard at the start of battle, increase this ship's Crit Rate by 20%.
When another Vanguard ship falls below 20% HP, this ship loses 5% HP to heal that ship for 10% of their HP.  5 Seconds afterward, heal this ship for 8% HP.
(Can only proc once per battle).</t>
      </text>
    </comment>
    <comment authorId="0" ref="V187">
      <text>
        <t xml:space="preserve">Decrease this ship's damage taken from DD guns and Torpedoes by 10%
Every 20 seconds, increase this ship's speed by 5 and Firepower by 20% for 10 seconds</t>
      </text>
    </comment>
    <comment authorId="0" ref="U188">
      <text>
        <t xml:space="preserve">When any ship in your fleet (other than this one) takes DMG: 30% chance to increase EVA by 15% for 5s for your Sardegna ships and deploy a smokescreen that increases Evasion Rate by 40% for 5s for ships inside it. Smokescreen has a 15s cooldown and does not stack with other smokescreen skills.</t>
      </text>
    </comment>
    <comment authorId="0" ref="V188">
      <text>
        <t xml:space="preserve">Increases this ship's Speed by 5 and also increases her FP and TRP by 15% if there are any other Sardegna ships in the same fleet.</t>
      </text>
    </comment>
    <comment authorId="0" ref="U189">
      <text>
        <t xml:space="preserve">When any ship in your fleet (other than this one) takes DMG: 30% chance to fire a barrage (15s cooldown). Damage is based on the skill's level.</t>
      </text>
    </comment>
    <comment authorId="0" ref="V189">
      <text>
        <t xml:space="preserve">Increases this ship's Speed by 5 and also increases her AA and EVA by 15% if there are any other Sardegna ships in the same fleet.</t>
      </text>
    </comment>
    <comment authorId="0" ref="U190">
      <text>
        <t xml:space="preserve">For the first 3 battles of a sortie: increases this ship's AA and EVA by 15% and Speed by 5.
When the fleet this ship is in defeats an enemy fleet: increases this ship's FP, TRP, and RLD by 5% (can be stacked up to 3 times).</t>
      </text>
    </comment>
    <comment authorId="0" ref="V190">
      <text>
        <t xml:space="preserve">Increases DMG taken by enemy CLs by 8% while this ship is afloat, but also increases this ship's DMG taken by 1%.</t>
      </text>
    </comment>
    <comment authorId="0" ref="U191">
      <text>
        <t xml:space="preserve">While this ship is afloat: reduces the torpedo DMG taken by the Vanguard fleet by 10% and the airstrike DMG taken by the Main fleet by 10%; 
During battle: increases this ship's TRP by 10%, and then by an additional 10% if Agano is in the same fleet.</t>
      </text>
    </comment>
    <comment authorId="0" ref="U192">
      <text>
        <t xml:space="preserve">Decrease the duration of burns inflicted on this ship by 3s. Increase the damage this ship deals to Light Armor enemies by 15%.
Every 20s after the battle begins, 70% chance to fire a special barrage (damage scales with skill level) and increase your entire fleet's AA stat by 20% for 8s.</t>
      </text>
    </comment>
    <comment authorId="0" ref="V192">
      <text>
        <t xml:space="preserve">If this ship is sortied with another Eagle Union ship, or when this ship sinks its second enemy this battle, increase this ship's TRP and AA stats by 15% until the end of the battle.
If this ship is equipped with any Eagle Union gear, this ship gains an extra ghost AA gun. The extra AA gun has 30 range, 1.038-second cooldown, and deals 142 damage per shot.</t>
      </text>
    </comment>
    <comment authorId="0" ref="U193">
      <text>
        <t xml:space="preserve">At the start of the battle: increases this ship's AA and EVA by 15% for 60s.
While there are 3 ships in your Vanguard and this ship is in the middle position: decreases DMG taken by your Vanguard's frontmost ship by 10% for 50s, and increases DMG dealt by your Vanguard's backmost ship by 10% for 50s.</t>
      </text>
    </comment>
    <comment authorId="0" ref="V193">
      <text>
        <t xml:space="preserve">Increase Damage of airstrikes by CVs and CVLs by 15% while alive.</t>
      </text>
    </comment>
    <comment authorId="0" ref="U194">
      <text>
        <t xml:space="preserve">Decreases the duration of Burns inflicted on this ship by 3s. When this ship sinks an enemy: until the end of the battle, increases this ship's AA by 6% and FP by 5%, and also increases the ASW of your fleet by 4%. This buff can be stacked up to 5 times.</t>
      </text>
    </comment>
    <comment authorId="0" ref="V194">
      <text>
        <t xml:space="preserve">Reduce flagship damage taken by 25%</t>
      </text>
    </comment>
    <comment authorId="0" ref="U195">
      <text>
        <t xml:space="preserve">Increases this ship's TRP by 5% and RLD by 15%.
Whenever this ship's All-Out Assault skill activates: decreases the loading time of this ship's next Torpedo wave by 3seconds.</t>
      </text>
    </comment>
    <comment authorId="0" ref="V195">
      <text>
        <t xml:space="preserve">As long as this ship is afloat, increase all damage dealt by all CVs and CVLs in your fleet by 15%.
When this ship fires her 4th wave of torpedoes, restore 10% HP for the lowest HP percentage CV/CVL currently afloat in your fleet. If your flagship is a CV (not a CVL), restore an additional 5% HP for that ship. (This skill does not stack with itself or other Air Raid Assistance buffs.)</t>
      </text>
    </comment>
    <comment authorId="0" ref="U196">
      <text>
        <t xml:space="preserve">3 seconds after the battle starts and every 20 seconds afterward: summons a support robot for 10 seconds.
When summoned, the robot: 
  1) fires a special barrage (skill-based damage) and spawns 2 shields lasting 5 seconds that can each block up to 10 enemy shells; 
  2) targets your Vanguard ship with the lowest % of HP left and heals her for 0.5% max HP 3 times over 10s;
  3) increases your fleet's AA by 15% while it is deployed.</t>
      </text>
    </comment>
    <comment authorId="0" ref="V196">
      <text>
        <t xml:space="preserve">Increases this ship's AA by 50% of her total TRP stat (base stats plus gear) and decreases the Burn DMG she takes by 15%.
This ship heals herself for 1% of her max HP every 15 seconds in combat.</t>
      </text>
    </comment>
    <comment authorId="0" ref="U197">
      <text>
        <t xml:space="preserve">Every 20 seconds, fires a barrage.
When landing 5 consecutive hits on an enemy, increase this ship's Firepower by 5% until the end of battle (Can be stacked 4 times).
Once at 4 stacks, increase this ship's Torpedo by 20% and fires the barrage.</t>
      </text>
    </comment>
    <comment authorId="0" ref="V197">
      <text>
        <t xml:space="preserve">Increase this ship's Speed by 7.
If there's another DD in the Vanguard, increase this ship's Speed by another 7 and Evasion by 20%.
If the only DD in the Vanguard, increase this ship's Reload by 20% and decreases her damage taken by 5%.</t>
      </text>
    </comment>
    <comment authorId="0" ref="X197">
      <text>
        <t xml:space="preserve">8 shots if this is the only DD in your Vanguard.</t>
      </text>
    </comment>
    <comment authorId="0" ref="U198">
      <text>
        <t xml:space="preserve">Increase this ship's AA and ASW by 10%.
If in the same fleet as Richelieu, or with 3 or more Iris or Vichya ships, increase this ship's Firepower, Torpedo, and Reload by 10%
When this ship is attacked, 15% chance to create a shield that lasts up to 12 seconds and can block up to 10 shots, and decrease this ship's Speed by 3 (Can only trigger once every 12 seconds).</t>
      </text>
    </comment>
    <comment authorId="0" ref="U199">
      <text>
        <t xml:space="preserve">Increase damage dealt by 25% and damage taken by 15% when with Vert/Green Heart.
Decrease damage taken by 25% and damage dealt by 15% when not.</t>
      </text>
    </comment>
    <comment authorId="0" ref="U200">
      <text>
        <t xml:space="preserve">Main guns hits increase torpedo crit hit chance by 1.5% and stacks up to 20 times.  Effect resets after torpedo launch.</t>
      </text>
    </comment>
    <comment authorId="0" ref="V200">
      <text>
        <t xml:space="preserve">Every 20 seconds, 40% chance to fire a powerful barrage with a low chance to slow enemies for 8 seconds.</t>
      </text>
    </comment>
    <comment authorId="0" ref="U201">
      <text>
        <t xml:space="preserve">Decrease Firepower, Torpedo, and Aviation of all enemies by up to 8% every 20 seconds.
Has a small chance it accidentally increase enemy stats instead.</t>
      </text>
    </comment>
    <comment authorId="0" ref="V201">
      <text>
        <t xml:space="preserve">When taking damage, 12% chance to fire special torpedo barrage and avoid all attacks for 3 seconds.
Once effect ends, increase own Evasion by 40% for 3 seconds. </t>
      </text>
    </comment>
    <comment authorId="0" ref="U202">
      <text>
        <t xml:space="preserve">Divebomber slot has unique skin.
Airstrike reload timer increased by 100%.
Call in air support plane every 20 seconds.</t>
      </text>
    </comment>
    <comment authorId="0" ref="V202">
      <text>
        <t xml:space="preserve">Increase own Firepower by 15%.
After defeating 3 enemy nodes in a sortie, increase Torpedo stat by 12% for the rest of the sortie.</t>
      </text>
    </comment>
    <comment authorId="0" ref="AB202">
      <text>
        <t xml:space="preserve">2 Divebombers after full LB</t>
      </text>
    </comment>
    <comment authorId="0" ref="U203">
      <text>
        <t xml:space="preserve">Every 25 seconds, 70% chance to fire a special barrage.</t>
      </text>
    </comment>
    <comment authorId="0" ref="V203">
      <text>
        <t xml:space="preserve">If the number of Hololive ships in fleet is;
Odd: Increase own Main Gun damage by 12%.
Even: Decrease shelling damage taken by self by 5%.
Every 20 seconds, reduce damage a random ally takes by 5% for 10 seconds.</t>
      </text>
    </comment>
    <comment authorId="0" ref="U204">
      <text>
        <t xml:space="preserve">For 60 seconds after battle starts, increase this ship's Firepower and Torpedo by 15%.
When this ship takes damage, 10% chance to fire a special barrage that always crits (Skill-based damage, 10 second cooldown).</t>
      </text>
    </comment>
    <comment authorId="0" ref="V204">
      <text>
        <t xml:space="preserve">Increase Damage of this ship's first 3 torpedo launches of each battle by 50%.
When this ship fires torpedoes, for 8 seconds, increase Vanguard's Speed by 3, and Evasion by 15% for the lead Vanguard ship.</t>
      </text>
    </comment>
    <comment authorId="0" ref="U205">
      <text>
        <t xml:space="preserve">Main gun unaffected by enemy armor type, and deals 115% damage to all targets.
If equipped with an IJN DD gun, increase main gun efficiency by 15%</t>
      </text>
    </comment>
    <comment authorId="0" ref="V205">
      <text>
        <t xml:space="preserve">10 Seconds after battle starts, fire a special torpedo barrage and decrease this ship's damage taken by 6% for 50 seconds.
If equipped torpedoes hit 8 times, launch another special barrage.</t>
      </text>
    </comment>
    <comment authorId="0" ref="W205">
      <text>
        <t xml:space="preserve">Increase damage to Sirens by 15%</t>
      </text>
    </comment>
  </commentList>
</comments>
</file>

<file path=xl/comments3.xml><?xml version="1.0" encoding="utf-8"?>
<comments xmlns:r="http://schemas.openxmlformats.org/officeDocument/2006/relationships" xmlns="http://schemas.openxmlformats.org/spreadsheetml/2006/main">
  <authors>
    <author/>
  </authors>
  <commentList>
    <comment authorId="0" ref="E1">
      <text>
        <t xml:space="preserve">Hit Points/Health</t>
      </text>
    </comment>
    <comment authorId="0" ref="F1">
      <text>
        <t xml:space="preserve">Firepower</t>
      </text>
    </comment>
    <comment authorId="0" ref="G1">
      <text>
        <t xml:space="preserve">Torpedo</t>
      </text>
    </comment>
    <comment authorId="0" ref="H1">
      <text>
        <t xml:space="preserve">Aviation/Airpower</t>
      </text>
    </comment>
    <comment authorId="0" ref="I1">
      <text>
        <t xml:space="preserve">Anti-Air</t>
      </text>
    </comment>
    <comment authorId="0" ref="J1">
      <text>
        <t xml:space="preserve">Reload</t>
      </text>
    </comment>
    <comment authorId="0" ref="K1">
      <text>
        <t xml:space="preserve">Evasion</t>
      </text>
    </comment>
    <comment authorId="0" ref="M1">
      <text>
        <t xml:space="preserve">Speed (Affects battle move speed and sortie move distance.)</t>
      </text>
    </comment>
    <comment authorId="0" ref="N1">
      <text>
        <t xml:space="preserve">Accuracy</t>
      </text>
    </comment>
    <comment authorId="0" ref="O1">
      <text>
        <t xml:space="preserve">Luck</t>
      </text>
    </comment>
    <comment authorId="0" ref="P1">
      <text>
        <t xml:space="preserve">Anti-Submarine Warfare</t>
      </text>
    </comment>
    <comment authorId="0" ref="Q1">
      <text>
        <t xml:space="preserve">Oil Cost</t>
      </text>
    </comment>
    <comment authorId="0" ref="R1">
      <text>
        <t xml:space="preserve">Oxygen</t>
      </text>
    </comment>
    <comment authorId="0" ref="S1">
      <text>
        <t xml:space="preserve">Ammunition</t>
      </text>
    </comment>
    <comment authorId="0" ref="U2">
      <text>
        <t xml:space="preserve">Every 20 seconds, 60% chance to increase own reload by 40% for 10 seconds.</t>
      </text>
    </comment>
    <comment authorId="0" ref="U3">
      <text>
        <t xml:space="preserve">Every 20 seconds, 60% chance to increase own reload by 40% for 10 seconds.</t>
      </text>
    </comment>
    <comment authorId="0" ref="U4">
      <text>
        <t xml:space="preserve">Increase Firepower of Cruisers by 15%</t>
      </text>
    </comment>
    <comment authorId="0" ref="U5">
      <text>
        <t xml:space="preserve">When HP falls below 20%, heal 25% of max HP and increase Firepower by 30% for 15 seconds.  Can only occur once per battle.</t>
      </text>
    </comment>
    <comment authorId="0" ref="U6">
      <text>
        <t xml:space="preserve">Every 20 seconds, 60% chance to increase damage all enemies take by 40% for 10 seconds.</t>
      </text>
    </comment>
    <comment authorId="0" ref="U7">
      <text>
        <t xml:space="preserve">Every 20 seconds, 60% chance to increase damage all onscreen enemies take by 40% for 10 seconds.
When an SG Radar is equipped:  Increase this ship's Evasion by 10%, and this skill goes off 16 seconds into battle instead of 20 seconds.</t>
      </text>
    </comment>
    <comment authorId="0" ref="W7">
      <text>
        <t xml:space="preserve">Decreases this ship's damage taken from Torpedoes by 15%
Once battle starts, if there are 3 ships in the Vanguard and there is an Eagle Union ship in the back position (Other than this ship), increase that ship's Evasion by 12%.</t>
      </text>
    </comment>
    <comment authorId="0" ref="U8">
      <text>
        <t xml:space="preserve">Increase AA of all Cruisers by 15%.</t>
      </text>
    </comment>
    <comment authorId="0" ref="V8">
      <text>
        <t xml:space="preserve">When firing AA guns, 25% chance to increase own AA by 40% but decrease Firepower by 20% for 3 seconds.</t>
      </text>
    </comment>
    <comment authorId="0" ref="U9">
      <text>
        <t xml:space="preserve">When sunk, heals entire fleet by 25%</t>
      </text>
    </comment>
    <comment authorId="0" ref="V9">
      <text>
        <t xml:space="preserve">When firing AA guns, 25% chance to increase own AA by 40% but decrease Firepower by 20% for 3 seconds.</t>
      </text>
    </comment>
    <comment authorId="0" ref="U10">
      <text>
        <t xml:space="preserve">When attacking with AA guns, 15% chance to increase fleet AA by 50% for 8 seconds.</t>
      </text>
    </comment>
    <comment authorId="0" ref="U11">
      <text>
        <t xml:space="preserve">When attacking with AA guns, 15% chance to increase fleet AA by 50% for 8 seconds.</t>
      </text>
    </comment>
    <comment authorId="0" ref="W11">
      <text>
        <t xml:space="preserve">Increase AA by 25%
Every 20 seconds, 100% chance to release a powerful barrage.</t>
      </text>
    </comment>
    <comment authorId="0" ref="U12">
      <text>
        <t xml:space="preserve">Every 20 seconds, 25% chance to increase fleet damage by 25% for 8 seconds.</t>
      </text>
    </comment>
    <comment authorId="0" ref="V12">
      <text>
        <t xml:space="preserve">When firing AA guns, 25% chance to increase own AA by 40% but decrease Firepower by 20% for 3 seconds.</t>
      </text>
    </comment>
    <comment authorId="0" ref="U13">
      <text>
        <t xml:space="preserve">Reduce damage taken by Flagship by 25%</t>
      </text>
    </comment>
    <comment authorId="0" ref="V13">
      <text>
        <t xml:space="preserve">When firing AA guns, 25% chance to increase own AA by 40% but decrease Firepower by 20% for 3 seconds.</t>
      </text>
    </comment>
    <comment authorId="0" ref="U14">
      <text>
        <t xml:space="preserve">Increase Firepower of Cruisers by 15%</t>
      </text>
    </comment>
    <comment authorId="0" ref="U15">
      <text>
        <t xml:space="preserve">Increase Firepower of Cruisers by 15%</t>
      </text>
    </comment>
    <comment authorId="0" ref="W15">
      <text>
        <t xml:space="preserve">Once battle begins and every 15 seconds afterward, 30% chance to deploy smokescreen for 5 seconds.  Vanguard within smokescreen gain 40% additional Evasion.</t>
      </text>
    </comment>
    <comment authorId="0" ref="U16">
      <text>
        <t xml:space="preserve">Every 20 seconds, 60% chance to increase own Firepower by 40% for 10 seconds.</t>
      </text>
    </comment>
    <comment authorId="0" ref="U17">
      <text>
        <t xml:space="preserve">Every 20 seconds, 60% chance to increase own Firepower by 40% for 10 seconds.</t>
      </text>
    </comment>
    <comment authorId="0" ref="W17">
      <text>
        <t xml:space="preserve">Increase Torpedo and Evasion by 15%.
Damage against Medium armor targets increased by 25%</t>
      </text>
    </comment>
    <comment authorId="0" ref="U18">
      <text>
        <t xml:space="preserve">Every 20 seconds, 60% chance to increase own Firepower by 40% for 10 seconds.</t>
      </text>
    </comment>
    <comment authorId="0" ref="U19">
      <text>
        <t xml:space="preserve">Every 20 seconds, 60% chance to increase own Firepower by 40% for 10 seconds.</t>
      </text>
    </comment>
    <comment authorId="0" ref="W19">
      <text>
        <t xml:space="preserve">Increase Torpedo and Evasion by 15%.
Damage against Medium armor targets increased by 25%</t>
      </text>
    </comment>
    <comment authorId="0" ref="U20">
      <text>
        <t xml:space="preserve">Increase Firepower, Torpedo, and AA of all Dido-class CLs by 15%.
At the start of battle, increase this ship's AA and Evasion by 15% for 30 seconds.</t>
      </text>
    </comment>
    <comment authorId="0" ref="V20">
      <text>
        <t xml:space="preserve">Increase this ship's Firepower, AA, and Reload by 6% for every Royal Navy ship (Besides Dido) in the fleet at the start of battle.  Can be stacked up to 4 times.
When sortied with Queen Elizabeth, increases Queen Elizabeth's Firepower, Reload, Evasion, and Accuracy by 7% and Main Gun Crit Rate by 20%</t>
      </text>
    </comment>
    <comment authorId="0" ref="U21">
      <text>
        <t xml:space="preserve">Once battle begins and every 15 seconds afterward, 30% chance to deploy smokescreen for 5 seconds.  Vanguard within smokescreen gain 40% additional Evasion.</t>
      </text>
    </comment>
    <comment authorId="0" ref="V21">
      <text>
        <t xml:space="preserve">Every 20 seconds, 25% chance to increase entire fleet's Reload by 25% for 8 seconds.</t>
      </text>
    </comment>
    <comment authorId="0" ref="U22">
      <text>
        <t xml:space="preserve">Allied ships with lower health than Sheffield at the start of the battle will have a 30% chance of receiving 50% less damage.</t>
      </text>
    </comment>
    <comment authorId="0" ref="V22">
      <text>
        <t xml:space="preserve">Increase main gun crit rate by 12% and crit damage 30%</t>
      </text>
    </comment>
    <comment authorId="0" ref="U23">
      <text>
        <t xml:space="preserve">Decreases the effects of the "Out of Ammo" debuff by 15%</t>
      </text>
    </comment>
    <comment authorId="0" ref="V23">
      <text>
        <t xml:space="preserve">Increase this ship's Firepower and Accuracy by 5%
Every enemy sunk by Gloucester increases this ship's Firepower and Accuracy by 2% for the rest of the battle.  Can be stacked up to 5 times.</t>
      </text>
    </comment>
    <comment authorId="0" ref="U24">
      <text>
        <t xml:space="preserve">Increase AP damage by 25%</t>
      </text>
    </comment>
    <comment authorId="0" ref="U25">
      <text>
        <t xml:space="preserve">Increase HE damage by 25%, chance to ignite by 3%</t>
      </text>
    </comment>
    <comment authorId="0" ref="V25">
      <text>
        <t xml:space="preserve">10 seconds after battle begins and every 20 seconds afterward, 20% chance to deploy smokescreen for 10 seconds.  Vanguard within smokescreen gain 35% additional Evasion and take 35% less damage from airstrikes.</t>
      </text>
    </comment>
    <comment authorId="0" ref="U26">
      <text>
        <t xml:space="preserve">Every 20 seconds, 25% chance to increase entire fleet's Reload by 25% for 8 seconds.</t>
      </text>
    </comment>
    <comment authorId="0" ref="U27">
      <text>
        <t xml:space="preserve">Every 20 seconds, 60% chance to increase own Firepower by 40% for 10 seconds.</t>
      </text>
    </comment>
    <comment authorId="0" ref="U28">
      <text>
        <t xml:space="preserve">Increase damage against DDs, transports, torp boats, and suicide boats by 20%</t>
      </text>
    </comment>
    <comment authorId="0" ref="V28">
      <text>
        <t xml:space="preserve">While alive, decease Evasion of all enemy DDs and CLs by 20%</t>
      </text>
    </comment>
    <comment authorId="0" ref="U29">
      <text>
        <t xml:space="preserve">Increase XP gained by Cruisers by 15%</t>
      </text>
    </comment>
    <comment authorId="0" ref="V29">
      <text>
        <t xml:space="preserve">Every 20 seconds, 60% chance to increase own Firepower by 40% for 10 seconds.</t>
      </text>
    </comment>
    <comment authorId="0" ref="U30">
      <text>
        <t xml:space="preserve">Increase XP gained by Cruisers by 15%</t>
      </text>
    </comment>
    <comment authorId="0" ref="V30">
      <text>
        <t xml:space="preserve">Every 20 seconds, 60% chance to increase own Firepower by 40% for 10 seconds.</t>
      </text>
    </comment>
    <comment authorId="0" ref="W30">
      <text>
        <t xml:space="preserve">Every 12 seconds, use random prototype equipment;
17% - HE barrage
17% - Torpedo barrage
14% - Normal barrage
14% - 18 second shield, blocks 60 hits
14% - 6 second shield, blocks 99 hits
14% - Heals all fleet ships for 2.4% their max HP
10% - Heal all fleet ships for 9 HP</t>
      </text>
    </comment>
    <comment authorId="0" ref="U31">
      <text>
        <t xml:space="preserve">Every 20 seconds, 60% chance to increase own Firepower by 40% for 10 seconds.</t>
      </text>
    </comment>
    <comment authorId="0" ref="U32">
      <text>
        <t xml:space="preserve">When firing AA guns, 25% chance to increase own AA by 40% but decrease Firepower by 20% for 3 seconds.</t>
      </text>
    </comment>
    <comment authorId="0" ref="U33">
      <text>
        <t xml:space="preserve">When firing AA guns, 25% chance to increase own AA by 40% but decrease Firepower by 20% for 3 seconds.</t>
      </text>
    </comment>
    <comment authorId="0" ref="W33">
      <text>
        <t xml:space="preserve">If Sakura Empire is equipped: Decreases damage taken by 12%
If main gun equipped is from any other faction: 
Decrease this ship's AA efficiency by 50%
Increase main gun efficiency by 20%
Increase torpedo efficiency by 50%
And fires a torpedo barrage when this ship fires its All-Out Assault.</t>
      </text>
    </comment>
    <comment authorId="0" ref="U34">
      <text>
        <t xml:space="preserve">Increase this ship's Firepower, AA, and ASW by 15%
If there's a Sakura DD afloat in the vanguard at the start of battle; every 18 seconds, heals the Vanguard ship with the lowest % HP for 3% of their max HP.
If no Sakura DD present, increase this ship's Torpedo by 15% and with a 70% chance every 18 seconds, fire a special barrage (Skill-based damage)</t>
      </text>
    </comment>
    <comment authorId="0" ref="V34">
      <text>
        <t xml:space="preserve">Increase Sakura DD Torpedo and reload by 10% and AA by 20%</t>
      </text>
    </comment>
    <comment authorId="0" ref="U35">
      <text>
        <t xml:space="preserve">Increase this ship's Firepower, AA, and ASW by 15%.
While afloat, decrease damage allied SS' and SSV's take by 15%.</t>
      </text>
    </comment>
    <comment authorId="0" ref="U36">
      <text>
        <t xml:space="preserve">Increase this ship's Firepower, AA, and ASW by 15%.
While afloat, decrease damage allied SS' and SSV's take by 15%.</t>
      </text>
    </comment>
    <comment authorId="0" ref="W36">
      <text>
        <t xml:space="preserve">Increase this ship's Torpedo damage by 15%.
When firing torpedoes, 30% chance to launch a second wave of torpedoes.</t>
      </text>
    </comment>
    <comment authorId="0" ref="U37">
      <text>
        <t xml:space="preserve">Increase Torpedo effectiveness of all DDs in fleet by 15%</t>
      </text>
    </comment>
    <comment authorId="0" ref="U38">
      <text>
        <t xml:space="preserve">Increase Torpedo effectiveness of all DDs in fleet by 15%</t>
      </text>
    </comment>
    <comment authorId="0" ref="W38">
      <text>
        <t xml:space="preserve">30% chance to launch a second wave of torpedoes.</t>
      </text>
    </comment>
    <comment authorId="0" ref="U39">
      <text>
        <t xml:space="preserve">Every 20 seconds, 60% chance to increase own Firepower by 40% for 10 seconds.</t>
      </text>
    </comment>
    <comment authorId="0" ref="V39">
      <text>
        <t xml:space="preserve">Reduce AP damage taken by 20%</t>
      </text>
    </comment>
    <comment authorId="0" ref="U40">
      <text>
        <t xml:space="preserve">While alive, reduce damage taken by CVs and CVLs by 15%</t>
      </text>
    </comment>
    <comment authorId="0" ref="V40">
      <text>
        <t xml:space="preserve">Reduce AP damage taken by 20%</t>
      </text>
    </comment>
    <comment authorId="0" ref="U41">
      <text>
        <t xml:space="preserve">Increase Reload of all Cruisers by 15%</t>
      </text>
    </comment>
    <comment authorId="0" ref="U42">
      <text>
        <t xml:space="preserve">Every 20 seconds, 60% chance to increase own Firepower by 40% for 10 seconds.</t>
      </text>
    </comment>
    <comment authorId="0" ref="U43">
      <text>
        <t xml:space="preserve">Every 20 seconds, 60% chance to increase own Firepower by 40% for 10 seconds.</t>
      </text>
    </comment>
    <comment authorId="0" ref="W43">
      <text>
        <t xml:space="preserve">Increase own damage done to suicide, torpedo, and transport ships by 25%</t>
      </text>
    </comment>
    <comment authorId="0" ref="U44">
      <text>
        <t xml:space="preserve">Every 20 seconds, 60% chance to increase own Firepower by 40% for 10 seconds.</t>
      </text>
    </comment>
    <comment authorId="0" ref="U45">
      <text>
        <t xml:space="preserve">Every 20 seconds, 60% chance to increase own Firepower by 40% for 10 seconds.</t>
      </text>
    </comment>
    <comment authorId="0" ref="W45">
      <text>
        <t xml:space="preserve">If equipped with the Fl 282;  10 seconds after battle starts and every 30 seconds afterward, launch a spotter helicopter.  Helicopter reveals all enemy submarines, reducing their Evasion by 15% and increasing damage they take by 15% for 10 seconds.</t>
      </text>
    </comment>
    <comment authorId="0" ref="U46">
      <text>
        <t xml:space="preserve">Increase Firepower, Torpedo, and Reload stats of all Cruisers by 10%</t>
      </text>
    </comment>
    <comment authorId="0" ref="U47">
      <text>
        <t xml:space="preserve">Increase Firepower, Torpedo, and Reload stats of all Cruisers by 10%</t>
      </text>
    </comment>
    <comment authorId="0" ref="W47">
      <text>
        <t xml:space="preserve">While alive, increases Speed of Vanguard by 3 and reduces damage taken from ramming by 25%.
Once per battle, when health drops below 30%, evade all attacks for 5 seconds and increase damage dealt by 15% for the rest of the battle.</t>
      </text>
    </comment>
    <comment authorId="0" ref="U48">
      <text>
        <t xml:space="preserve">When in the same fleet as Ping/Ning Hai, reduce their and own Damage taken by 20% and increase their and own Evasion by 30%</t>
      </text>
    </comment>
    <comment authorId="0" ref="V48">
      <text>
        <t xml:space="preserve">Increase damage against Sakura ships by 25%</t>
      </text>
    </comment>
    <comment authorId="0" ref="U49">
      <text>
        <t xml:space="preserve">When in same fleet as Ping Hai, increase own Firepower by 35%</t>
      </text>
    </comment>
    <comment authorId="0" ref="V49">
      <text>
        <t xml:space="preserve">Increase damage against Sakura ships by 25%</t>
      </text>
    </comment>
    <comment authorId="0" ref="U50">
      <text>
        <t xml:space="preserve">When in same fleet as Ping Hai, increase own Firepower by 35%</t>
      </text>
    </comment>
    <comment authorId="0" ref="V50">
      <text>
        <t xml:space="preserve">Increase damage against Sakura ships by 25%</t>
      </text>
    </comment>
    <comment authorId="0" ref="W50">
      <text>
        <t xml:space="preserve">Increase Speed by 8 and Firepower by 15%</t>
      </text>
    </comment>
    <comment authorId="0" ref="U51">
      <text>
        <t xml:space="preserve">When in same fleet as Ping Hai, increase own Firepower by 35%</t>
      </text>
    </comment>
    <comment authorId="0" ref="V51">
      <text>
        <t xml:space="preserve">Increase damage against Sakura ships by 25%</t>
      </text>
    </comment>
    <comment authorId="0" ref="U52">
      <text>
        <t xml:space="preserve">When in same fleet as Ping Hai, increase own Firepower by 35%</t>
      </text>
    </comment>
    <comment authorId="0" ref="V52">
      <text>
        <t xml:space="preserve">Increase damage against Sakura ships by 25%</t>
      </text>
    </comment>
    <comment authorId="0" ref="W52">
      <text>
        <t xml:space="preserve">Increase Speed by 8 and Firepower by 15%</t>
      </text>
    </comment>
    <comment authorId="0" ref="U53">
      <text>
        <t xml:space="preserve">Increase damage dealt by Vanguard by 35%</t>
      </text>
    </comment>
    <comment authorId="0" ref="U54">
      <text>
        <t xml:space="preserve">Increase Firepower of Cruisers by 15%</t>
      </text>
    </comment>
    <comment authorId="0" ref="U55">
      <text>
        <t xml:space="preserve">Every 20 seconds, 60% chance to increase own Firepower by 40% for 10 seconds.</t>
      </text>
    </comment>
    <comment authorId="0" ref="U56">
      <text>
        <t xml:space="preserve">Every 20 seconds, 60% chance to increase own Firepower, Reload, and Evasion by 30% for 10 seconds.</t>
      </text>
    </comment>
    <comment authorId="0" ref="V56">
      <text>
        <t xml:space="preserve">When firing AA guns, 25% chance to increase own AA by 40% but decrease Firepower by 20% for 3 seconds.</t>
      </text>
    </comment>
    <comment authorId="0" ref="U57">
      <text>
        <t xml:space="preserve">While alive, increase Reload and Torpedo stats for all CL and DD in fleet by 15%</t>
      </text>
    </comment>
    <comment authorId="0" ref="U58">
      <text>
        <t xml:space="preserve">While alive, increase Reload and Torpedo stats for all CL and DD in fleet by 15%</t>
      </text>
    </comment>
    <comment authorId="0" ref="W58">
      <text>
        <t xml:space="preserve">10 seconds after battle begins and every 20 seconds afterward, 40% chance to deploy a flare for 10 seconds.  Enemy ships within the flare have 25% less Evasion.</t>
      </text>
    </comment>
    <comment authorId="0" ref="U59">
      <text>
        <t xml:space="preserve">While alive, increase Reload and Torpedo stats for all CL and DD in fleet by 20%</t>
      </text>
    </comment>
    <comment authorId="0" ref="U60">
      <text>
        <t xml:space="preserve">While alive, increase Reload and Torpedo stats for all CL and DD in fleet by 20%</t>
      </text>
    </comment>
    <comment authorId="0" ref="W60">
      <text>
        <t xml:space="preserve">Decrease damage taken by 20%
While alive, increase Torpedo crit chance for all CL and DD by 10%.  Higher levels increase Torpedo crit damage up to 30%</t>
      </text>
    </comment>
    <comment authorId="0" ref="U61">
      <text>
        <t xml:space="preserve">While alive, increase Reload and Torpedo stats for all CL and DD in fleet by 15%</t>
      </text>
    </comment>
    <comment authorId="0" ref="U62">
      <text>
        <t xml:space="preserve">Increase Firepower of DDs by 15%</t>
      </text>
    </comment>
    <comment authorId="0" ref="V62">
      <text>
        <t xml:space="preserve">While alive, reduce damage taken by CVs and CVLs by 15%</t>
      </text>
    </comment>
    <comment authorId="0" ref="U63">
      <text>
        <t xml:space="preserve">While afloat, increase this ship's Evasion -Rate- by 15%, and decreases Torpedo damage taken by Vanguard by 20%.</t>
      </text>
    </comment>
    <comment authorId="0" ref="V63">
      <text>
        <t xml:space="preserve">Increase this ship's damage dealt to CVs and CVLs by 20%.
While afloat, increase Vanguard Torpedo stat by 20%, and crit rate by 5%.</t>
      </text>
    </comment>
    <comment authorId="0" ref="U64">
      <text>
        <t xml:space="preserve">Every 20 seconds, Increase own AA by 60% and decrease enemy damage  by 8% for 6 seconds.</t>
      </text>
    </comment>
    <comment authorId="0" ref="U65">
      <text>
        <t xml:space="preserve">When paired with Sheffield, increase own Firepower and Torpedo stats by 15%</t>
      </text>
    </comment>
    <comment authorId="0" ref="U66">
      <text>
        <t xml:space="preserve">Every 20 seconds, 60% chance to decrease damage all cruisers take by 15% and increase Firepower and Accuracy by 25% for 8 seconds.</t>
      </text>
    </comment>
    <comment authorId="0" ref="V66">
      <text>
        <t xml:space="preserve">When firing AA guns, 25% chance to increase own AA by 40% but decrease Firepower by 20% for 3 seconds.</t>
      </text>
    </comment>
    <comment authorId="0" ref="U67">
      <text>
        <t xml:space="preserve">Every 20 seconds, 60% chance to increase own Firepower by 40% for 10 seconds.</t>
      </text>
    </comment>
    <comment authorId="0" ref="V67">
      <text>
        <t xml:space="preserve">When firing AA guns, 25% chance to increase own AA by 40% but decrease Firepower by 20% for 3 seconds.</t>
      </text>
    </comment>
    <comment authorId="0" ref="C68">
      <text>
        <t xml:space="preserve">Formerly "Belchan"</t>
      </text>
    </comment>
    <comment authorId="0" ref="U68">
      <text>
        <t xml:space="preserve">Increase Speed by 8 and Evasion by 25%</t>
      </text>
    </comment>
    <comment authorId="0" ref="V68">
      <text>
        <t xml:space="preserve">Once battle begins, recover HP of entire fleet equal to 3.5% of Belchan's max HP.</t>
      </text>
    </comment>
    <comment authorId="0" ref="U69">
      <text>
        <t xml:space="preserve">Increase Firepower, Torpedo, and Accuracy stats of all French DDs by 15%</t>
      </text>
    </comment>
    <comment authorId="0" ref="V69">
      <text>
        <t xml:space="preserve">If Vanguard (Besides this ship) consists of only DDs, increase own speed by 4 and own damage against DD, CAs, and CLs by 20%</t>
      </text>
    </comment>
    <comment authorId="0" ref="U70">
      <text>
        <t xml:space="preserve">Increase Firepower, Torpedo, and Accuracy stats of all French DDs by 15%</t>
      </text>
    </comment>
    <comment authorId="0" ref="V70">
      <text>
        <t xml:space="preserve">If Vanguard (Besides this ship) consists of only DDs, increase own speed by 4 and own damage against DD, CAs, and CLs by 20%</t>
      </text>
    </comment>
    <comment authorId="0" ref="W70">
      <text>
        <t xml:space="preserve">When sortied with other DDs, increase own Firepower, AA, and Accuracy by 15%.
Once per battle, when a DD falls below 50% HP, fire a barrage.</t>
      </text>
    </comment>
    <comment authorId="0" ref="U71">
      <text>
        <t xml:space="preserve">Every 20 seconds, 60% chance to increase own reload by 40% for 10 seconds.</t>
      </text>
    </comment>
    <comment authorId="0" ref="U72">
      <text>
        <t xml:space="preserve">When firing AA guns, 25% chance to increase own AA by 40% but decrease Firepower by 20% for 3 seconds.</t>
      </text>
    </comment>
    <comment authorId="0" ref="V72">
      <text>
        <t xml:space="preserve">Every 20 seconds, 25% chance to increase entire fleet's Reload by 25% for 8 seconds.</t>
      </text>
    </comment>
    <comment authorId="0" ref="U73">
      <text>
        <t xml:space="preserve">When firing AA guns, 25% chance to increase own AA by 40% but decrease Firepower by 20% for 3 seconds.</t>
      </text>
    </comment>
    <comment authorId="0" ref="V73">
      <text>
        <t xml:space="preserve">Every 20 seconds, 25% chance to increase entire fleet's Reload by 25% for 8 seconds.</t>
      </text>
    </comment>
    <comment authorId="0" ref="W73">
      <text>
        <t xml:space="preserve">Increase Firepower of Vanguard by 15%</t>
      </text>
    </comment>
    <comment authorId="0" ref="U74">
      <text>
        <t xml:space="preserve">Every 20 seconds, 60% chance to increase own reload by 40% for 10 seconds.</t>
      </text>
    </comment>
    <comment authorId="0" ref="U75">
      <text>
        <t xml:space="preserve">Increase Aviation of CVs and CVLs by 10% and increase their Accuracy against DD, CL, and CAs by 10%
Every allied CV and CVL in the fleet increases Sirius' Firepower, Torpedo, and Reload stats by 7%</t>
      </text>
    </comment>
    <comment authorId="0" ref="V75">
      <text>
        <t xml:space="preserve">Increase own Firepower by 20%</t>
      </text>
    </comment>
    <comment authorId="0" ref="U76">
      <text>
        <t xml:space="preserve">When shooting down an enemy plane, increase Firepower and AA by 25% for 8 seconds.  Skill does not stack, but does refresh.</t>
      </text>
    </comment>
    <comment authorId="0" ref="U77">
      <text>
        <t xml:space="preserve">When shooting down an enemy plane, increase Firepower and AA by 25% for 8 seconds.  Skill does not stack, but does refresh.</t>
      </text>
    </comment>
    <comment authorId="0" ref="W77">
      <text>
        <t xml:space="preserve">Increase AA of Vanguard by 15%.</t>
      </text>
    </comment>
    <comment authorId="0" ref="U78">
      <text>
        <t xml:space="preserve">When shooting down an enemy plane, increase Firepower and AA by 25% for 8 seconds.  Skill does not stack, but does refresh.</t>
      </text>
    </comment>
    <comment authorId="0" ref="U79">
      <text>
        <t xml:space="preserve">When shooting down an enemy plane, increase Firepower and AA by 25% for 8 seconds.  Skill does not stack, but does refresh.</t>
      </text>
    </comment>
    <comment authorId="0" ref="W79">
      <text>
        <t xml:space="preserve">Increase Damage of airstrikes by CVs and CVLs by 15% while alive.</t>
      </text>
    </comment>
    <comment authorId="0" ref="U80">
      <text>
        <t xml:space="preserve">Every 20 seconds, 60% chance to reduce Firepower, Torpedo, and Aviation of enemy ships by 12% for 10 seconds.</t>
      </text>
    </comment>
    <comment authorId="0" ref="V80">
      <text>
        <t xml:space="preserve">When firing AA guns, 30% chance to increase own AA by 25% for 5 seconds.
Once per battle, if sortied with Clevelad/Li'l Sandy and their health falls under 40%, increase own Firepower and Accuracy by 25% for 15 seconds.</t>
      </text>
    </comment>
    <comment authorId="0" ref="U81">
      <text>
        <t xml:space="preserve">When sortied with an Cleveland-class CL, increase own Anti-Air by 15% and Accuracy by 10%.</t>
      </text>
    </comment>
    <comment authorId="0" ref="V81">
      <text>
        <t xml:space="preserve">If lead vanguard ship, reduce damage taken by 12%.
Reduce shelling damage taken by Lena and Li'l Sandy by 8%.</t>
      </text>
    </comment>
    <comment authorId="0" ref="U82">
      <text>
        <t xml:space="preserve">One second after battle starts, increase own Firepower, Torpedo, and ASW stats by 10%, and reduce damage taken by entire fleet by 6% for 30 seconds.</t>
      </text>
    </comment>
    <comment authorId="0" ref="V82">
      <text>
        <t xml:space="preserve">Every 14 seconds, fire a star-shaped barrage.
</t>
      </text>
    </comment>
    <comment authorId="0" ref="U83">
      <text>
        <t xml:space="preserve">When AA gun fires, 30% chance to increase Vanguard AA by 30% for 10 seconds.
Every 5 aircraft shot down  increases own Firepower by 1% and reduces Aviation damage taken by 1%.  Can stack 10 times.</t>
      </text>
    </comment>
    <comment authorId="0" ref="V83">
      <text>
        <t xml:space="preserve">Increase own Crit rate by 30% and increase own Accuracy against DDs and CLs by 10%.
When enemies are hit by main gun, 10% chance to reduce enemy Evasion by 10% for 6 seconds.</t>
      </text>
    </comment>
    <comment authorId="0" ref="U84">
      <text>
        <t xml:space="preserve">25% chance when firing AA guns to increase AA for all Eagle Union ships by 30% for 5 seconds.
Increase own Firepower by 8% when main gun hits 13 times, can stack 3 times.</t>
      </text>
    </comment>
    <comment authorId="0" ref="U85">
      <text>
        <t xml:space="preserve">Reduces burn time by 3 seconds on self and flagship while alive.
Increase own Firepower and AA by 15% for 8 seconds when shooting down an enemy aircraft.  Doesn't stack.</t>
      </text>
    </comment>
    <comment authorId="0" ref="V85">
      <text>
        <t xml:space="preserve">10% chance when taking damage to increase own Evasion by 40% for 5 seconds, 8 seconds cooldown.
Once per battle, evade all attacks for 5 seconds when HP falls below 30%.</t>
      </text>
    </comment>
    <comment authorId="0" ref="U86">
      <text>
        <t xml:space="preserve">When sortied with at least one Eagle Union ship, increase Main gun crit rate by 40% and Firepower and Torpedo stats by 20%.</t>
      </text>
    </comment>
    <comment authorId="0" ref="V86">
      <text>
        <t xml:space="preserve">Once battle begins and every 15 seconds afterward, 30% chance to deploy smokescreen for 5 seconds.  Vanguard within smokescreen gain 40% additional Evasion.</t>
      </text>
    </comment>
    <comment authorId="0" ref="U87">
      <text>
        <t xml:space="preserve">Changes main gun ammo to purple musical notes for 8 seconds every 15 seconds.</t>
      </text>
    </comment>
    <comment authorId="0" ref="V87">
      <text>
        <t xml:space="preserve">Increase own AA stat by 8% for every aircraft shot down in own AA range for 8 seconds.  Can stack up to 4 times.</t>
      </text>
    </comment>
    <comment authorId="0" ref="U88">
      <text>
        <t xml:space="preserve">After firing main gun 3 times, change ammo type to blue musical note for the next main gun shot.</t>
      </text>
    </comment>
    <comment authorId="0" ref="V88">
      <text>
        <t xml:space="preserve">If placed at rear of Vanguard, all Vanguard ships have a 24% chance to take 32% less damage when hit.</t>
      </text>
    </comment>
    <comment authorId="0" ref="U89">
      <text>
        <t xml:space="preserve">Every 20 seconds, 60% chance to increase own Firepower by 40% for 10 seconds.</t>
      </text>
    </comment>
    <comment authorId="0" ref="V89">
      <text>
        <t xml:space="preserve">While alive, reduce damage received by main fleet by 8%, reduce own damage received from DDs and CLs guns and torpedoes by 10%.</t>
      </text>
    </comment>
    <comment authorId="0" ref="U90">
      <text>
        <t xml:space="preserve">When equipped with a dual 127mm Mk12 DD secondary, increases this ship's AA by 15% but decreases Firepower by 5%.
When not equipped the dual 127mm, increases this ship's Firepower by 15% but decreases AA by 5%.</t>
      </text>
    </comment>
    <comment authorId="0" ref="V90">
      <text>
        <t xml:space="preserve">Once per battle, when HP of an allied ship falls below 50%, for 12 seconds, increases this ship's AA by 15% and decreases the damage taken by the ship that fell below 50% HP by 15%.</t>
      </text>
    </comment>
    <comment authorId="0" ref="U91">
      <text>
        <t xml:space="preserve">Increase this ship's Damage to BBs and CAs by 20%
When taking damage, 15% chance to evade all enemy attacks for 10 seconds.  20 second cooldown when activated.</t>
      </text>
    </comment>
    <comment authorId="0" ref="U92">
      <text>
        <t xml:space="preserve">Increase this ship's Damage to BBs and CAs by 20%
When taking damage, 15% chance to evade all enemy attacks for 10 seconds.  20 second cooldown when activated.</t>
      </text>
    </comment>
    <comment authorId="0" ref="V92">
      <text>
        <t xml:space="preserve">Increase this ship's Torpedo and Accuracy by 15%
Every 15 seconds, 70% chance to fire a special barrage that slows enemies hit by 20% (Skill-based damage).</t>
      </text>
    </comment>
    <comment authorId="0" ref="U93">
      <text>
        <t xml:space="preserve">Every 15 seconds, fire a special barrage.  The first barrage ignites enemies hit, causing them to take 15% more damage for 8 seconds.</t>
      </text>
    </comment>
    <comment authorId="0" ref="V93">
      <text>
        <t xml:space="preserve">Increase effective and shell range of this ship's main gun to 75 and increases Damage this ship deals to Light-armored enemies by 20%.
If there are other Northern Parliament ships in the fleet, increase shelling damage all enemy CLs take from Northern Parliament ships by 12%</t>
      </text>
    </comment>
    <comment authorId="0" ref="U94">
      <text>
        <t xml:space="preserve">Every 15 seconds, 70% chance to fire a barrage that causes burn damage for 6 seconds.</t>
      </text>
    </comment>
    <comment authorId="0" ref="V94">
      <text>
        <t xml:space="preserve">Increase this ship's Crit Rate by 15%, Damage dealt to DDs by 20%, and Main Gun Shell Velocity by 15%
Decreases enemy DD Evasion RATE by 10%</t>
      </text>
    </comment>
    <comment authorId="0" ref="U95">
      <text>
        <t xml:space="preserve">At the start of battle, if in the same fleet as a CV or CVL, increase this ship's Crit Rate by 35%.
For each CV/CVL in the same fleet, increase this ship's damage to enemy DDs and CLs by 10%, to a max of 30%
For the first four battles in a sortie, decrease CV , CVL, and this ship's damage taken by 10% in this ship's fleet.</t>
      </text>
    </comment>
    <comment authorId="0" ref="V95">
      <text>
        <t xml:space="preserve">Increase this ship's AA and Firepower by 15%.
Every second time a Main Fleet ship in this ship's fleet takes damage, increase this ship's AA and Firepower by 6%, up to 2 times, until the end of the battle.</t>
      </text>
    </comment>
    <comment authorId="0" ref="X95">
      <text>
        <t xml:space="preserve">When equipping a DD main gun,  increases this ship's Main Gun Efficiency by 10%.
Barrage is every 10 shots if equipped with a CL gun, 8 shots with a DD gun.</t>
      </text>
    </comment>
    <comment authorId="0" ref="U96">
      <text>
        <t xml:space="preserve">Every 20 seconds, 60% chance to increase own reload by 40% for 10 seconds.</t>
      </text>
    </comment>
    <comment authorId="0" ref="U97">
      <text>
        <t xml:space="preserve">Increase this ship's damage deal to Royal Navy ships by 10%
This ship burns for 30 seconds once battle starts, dealing 8 damage every 3 seconds.
10% chance when hit to refresh or re-ignite burn.
While burning, increase this ship's Firepower, Torpedo, AA, and Evasion by 20%.</t>
      </text>
    </comment>
    <comment authorId="0" ref="V97">
      <text>
        <t xml:space="preserve">10 Seconds after battle start and every 20 seconds afterward, give a shield to all Vanguard ships,  each can block up to 6% of this ship's Max HP, and lasts 8 seconds.
If a ship's shield is broken before it expires, that ship evades all attacks for 2 seconds after the shield breaks.
If a ship's shield expires without breaking, heal that ship for 70 HP.</t>
      </text>
    </comment>
    <comment authorId="0" ref="U98">
      <text>
        <t xml:space="preserve">Reduce damage taken by CL/DD gun damage by 15%
If Vanguard consists only of CLs/CAs, increase this ship's Speed by 4 and Evasion by 15%</t>
      </text>
    </comment>
    <comment authorId="0" ref="V98">
      <text>
        <t xml:space="preserve">Increase this ship's Firepower and Torpedo by 8%
After 5 firing main gun 5 times, attack closest enemy with a barrage.</t>
      </text>
    </comment>
    <comment authorId="0" ref="U99">
      <text>
        <t xml:space="preserve">After battle starts, fire a barrage every 15 seconds.
If there are no enemies in a 30-unit distance when the barrage procs, fires an additional barrage.</t>
      </text>
    </comment>
    <comment authorId="0" ref="V99">
      <text>
        <t xml:space="preserve">When battle starts, if this ship is not in the lead Vanguard position, increase this ship's Firepower, Torpedo, AA, and Reload by 20%.
If there are other HMS ships in the fleet, increase this ship's Damage by 8%</t>
      </text>
    </comment>
    <comment authorId="0" ref="U100">
      <text>
        <t xml:space="preserve">At the start of battle, if the Vanguard consists of this ship alone, fire a special barrage every 20 seconds and increases AA of the flagship by 15%.
If there are other Vanguards present, fires a powerful barrage every 20 seconds and increase Vanguard's speed by 3 and AA and Accuracy by 15%
(Skill-based damage for barrages)</t>
      </text>
    </comment>
    <comment authorId="0" ref="V100">
      <text>
        <t xml:space="preserve">For every 2 enemies this ship sinks, increase this ship's AA by 10%.
Increase this ship's Evasion by 15% for every 60 seconds after the start of battle.</t>
      </text>
    </comment>
    <comment authorId="0" ref="U101">
      <text>
        <t xml:space="preserve">Every 15 seconds after battle starts, fire a special barrage.  (Skill-based damage)
Increase SS/SSV experience gained by 10% if they participate in battle.</t>
      </text>
    </comment>
    <comment authorId="0" ref="V101">
      <text>
        <t xml:space="preserve">Increase this ship's Torpedo by 10%, and the AA of your Ironblood ships by 15%
When 3 aircraft are shot down in AA range, increase this ship's AA by 5% until the end of battle, stacking up to 15%.</t>
      </text>
    </comment>
    <comment authorId="0" ref="U102">
      <text>
        <t xml:space="preserve">Increase this ship's Firepower and AA by 25% when battle starts.
Fire a barrage every 20 seconds (Skill-based damage).</t>
      </text>
    </comment>
    <comment authorId="0" ref="V102">
      <text>
        <t xml:space="preserve">Increase this ship's Evasion by 20% and decrease its Damage taken by 20% when battle begins, lasting until the battle ends.
When sortied with other Dragon Empery ships, heal this ship for 8% HP at the start of battle, increase Speed by 5, and increase Fleet AA by 20% for 50 seconds.</t>
      </text>
    </comment>
    <comment authorId="0" ref="U103">
      <text>
        <t xml:space="preserve">Increase this ship's Firepower and AA by 25% when battle starts.
Fire a barrage every 20 seconds (Skill-based damage).</t>
      </text>
    </comment>
    <comment authorId="0" ref="V103">
      <text>
        <t xml:space="preserve">Increase this ship's Evasion by 20% and decrease its Damage taken by 20% when battle begins, lasting until the battle ends.
When sortied with other Dragon Empery ships, heal this ship for 5% HP at the start of battle, increase Speed by 8, and increase Fleet ASW by 20% for 50 seconds.</t>
      </text>
    </comment>
    <comment authorId="0" ref="U104">
      <text>
        <t xml:space="preserve">Increase this ship's Damage dealt to DDs and CLs by 20%
When this ship sinks an enemy, increase this ship's Evasion and AA by 5% until the end of battle, stacking up to 3 times.</t>
      </text>
    </comment>
    <comment authorId="0" ref="V104">
      <text>
        <t xml:space="preserve">Once per battle, when this ship's HP falls below 30%, decrease this ship's Damage taken by 50% for 5 seconds, then restores 15% of her max HP.</t>
      </text>
    </comment>
    <comment authorId="0" ref="U105">
      <text>
        <t xml:space="preserve">Increase this ship's Firepower and Torpedo stats by 12% for the first 45 seconds of battle.
When equipped with an HE main gun, increase damage dealt to BBs/BCs by 10%.</t>
      </text>
    </comment>
    <comment authorId="0" ref="V105">
      <text>
        <t xml:space="preserve">Reduce AP Damage this ship takes by 15%
Every 20 seconds, 60% chance to fire a special barrage (Skill-based damage).</t>
      </text>
    </comment>
    <comment authorId="0" ref="U106">
      <text>
        <t xml:space="preserve">At the start of the battle: increases this ship's AA, EVA, and Accuracy by 15% for 60 seconds. When this ship fires her Torpedoes: 70% chance to fire a special barrage (DMG is based on this skill's level).</t>
      </text>
    </comment>
    <comment authorId="0" ref="V106">
      <text>
        <t xml:space="preserve">Reduces the speed of torpedoes fired by this ship by 10 knots, increases Torpedo Crit Rate by 40%, Torpedo Crit DMG by 40%, and decreases the loading time of the first Torpedo salvo by 50%.</t>
      </text>
    </comment>
    <comment authorId="0" ref="W106">
      <text>
        <t xml:space="preserve">Reduces the AP DMG this ship takes by 20% and the Torp DMG taken by the frontmost ship in your Vanguard by 8%.
Once per battle, when this ship falls under 30% HP as a result of DMG taken: creates a shield, and restores 3% of max HP every 3s for the next 10s. The shield blocks up to 5 torpedoes and lasts for up to 10s.</t>
      </text>
    </comment>
    <comment authorId="0" ref="U107">
      <text>
        <t xml:space="preserve">Every 15 seconds during battle: fires a special barrage.
Increase this ship's Crit Rate by 10%, and increases her DMG to Heavy Armor enemies by 15%.</t>
      </text>
    </comment>
    <comment authorId="0" ref="V107">
      <text>
        <t xml:space="preserve">While this ship has 45% or more HP remaining: increases this ship's FP and AA by 15%.
When this ship's HP falls below 45% as a result of DMG taken: decreases this ship's Burn DMG taken by 15% while below this threshold.
Once per battle, when this ship's HP falls below 30%: heals this ship for 10% of her max HP.</t>
      </text>
    </comment>
    <comment authorId="0" ref="U108">
      <text>
        <t xml:space="preserve">Every 20 seconds, fire a special barrage. Enemies hit by this barrage have a 30% chance to receive a debuff, which increases their damage taken by 10% for 5 seconds. If this ship has any piece of Eagle Union gear equipped, fire this barrage every 15 seconds instead.</t>
      </text>
    </comment>
    <comment authorId="0" ref="V108">
      <text>
        <t xml:space="preserve">Increase this ship's FP and Accuracy by 15%. Every 15 seconds, 100% chance to spawn a zone on the battlefield. Enemies inside the zone when it spawns have their speed set to 0 for 3 seconds.</t>
      </text>
    </comment>
    <comment authorId="0" ref="W108">
      <text>
        <t xml:space="preserve">Increase all damage this ship does to Light armored targets by 15%
When sortied with Helena or Lena, decrease this ship's Damage taken by 18%
When sortied without either, increase this ship's Evasion by 15% and decrease all damage taken by lead Vanguard ship by 5%</t>
      </text>
    </comment>
    <comment authorId="0" ref="U109">
      <text>
        <t xml:space="preserve">When paired with another Neptunia ship, increase own damage by 10% and decrease damage taken by 6%.
Increase own damage by 2% and decrease damage taken by 2% for each Neptunia ship in fleet besides herself.</t>
      </text>
    </comment>
    <comment authorId="0" ref="U110">
      <text>
        <t xml:space="preserve">After every 6 shots from the main gun, the next shot will be a critical hit.</t>
      </text>
    </comment>
    <comment authorId="0" ref="V110">
      <text>
        <t xml:space="preserve">Every 20 seconds, 40% chance to release a powerful barrage, low chance to set enemies on fire for 12 seconds.</t>
      </text>
    </comment>
    <comment authorId="0" ref="W110">
      <text>
        <t xml:space="preserve">115 seconds after battle starts, release powerful barrage.  Can only occur once per battle.</t>
      </text>
    </comment>
    <comment authorId="0" ref="U111">
      <text>
        <t xml:space="preserve">For 60 seconds after battle starts, increase this ship's Firepower and armor modifier against Light armor by 15%.
If there are other Venus Vacation characters in the fleet, increase this ship's AA by 15% and decrease damage taken from guns by 12%.</t>
      </text>
    </comment>
    <comment authorId="0" ref="U112">
      <text>
        <t xml:space="preserve">Every 15 seconds after battle starts, fire a barrage with special and poker projectiles (Skill-based damage)
Enemies hit by the special ammo projectiles take 10% increased Damage for 6 seconds.</t>
      </text>
    </comment>
    <comment authorId="0" ref="V112">
      <text>
        <t xml:space="preserve">Increase this ship's Main gun shell velocity by 10%.
When 5 enemy aircraft are shot down in AA range, increase this ship's Torpedo and AA by 12%.</t>
      </text>
    </comment>
    <comment authorId="0" ref="U113">
      <text>
        <t xml:space="preserve">Each second in combat, this ship has a 10% chance of dealing DMG to herself; if this effect activates: after 3s, heals this ship and the lowest HP% ship in the fleet for 5% HP (this effect can only activate 2 times per battle).</t>
      </text>
    </comment>
    <comment authorId="0" ref="V113">
      <text>
        <t xml:space="preserve">When this ship fires her 2nd wave of Torpedoes in a battle: increases all enemies' DMG taken by 15% for 5 seconds. After this effect activates, when this ship fires her Torpedoes: decreases this ship's DMG taken by 8% until the end of the battle (can be stacked 2 times).</t>
      </text>
    </comment>
    <comment authorId="0" ref="W113">
      <text>
        <t xml:space="preserve">Fires a special barrage every 15 seconds</t>
      </text>
    </comment>
    <comment authorId="0" ref="U114">
      <text>
        <t xml:space="preserve">Increase AP damage by 40%</t>
      </text>
    </comment>
    <comment authorId="0" ref="V114">
      <text>
        <t xml:space="preserve">When Neptune's HP drops below 20%, heal for 25% max HP and increase Reload by 30% for the rest of the battle.  Only occurs once per battle.</t>
      </text>
    </comment>
    <comment authorId="0" ref="W114">
      <text>
        <t xml:space="preserve">Increase damage to Sirens by 15%</t>
      </text>
    </comment>
    <comment authorId="0" ref="U115">
      <text>
        <t xml:space="preserve">When enemy aircraft shot down in AA range, increase this ship's Firepower and Anti-Air by 15% for 8 seconds.
If airspace control is at Parity or higher, the above buff is automatically applied and lasts the entire battle.
If fleet has shot down at least 15 aircraft during the battle, increase this ship's Firepower and Reload by 20%.</t>
      </text>
    </comment>
    <comment authorId="0" ref="V115">
      <text>
        <t xml:space="preserve">When CL gun equipped in secondary slot, increase AA efficiency by 15%.
When AA gun equipped in secondary slot, increase main gun efficiency by 15%.
Decrease own damage taken by 15% if placed at rear of Vanguard.</t>
      </text>
    </comment>
    <comment authorId="0" ref="W115">
      <text>
        <t xml:space="preserve">Increase damage to Sirens by 15%</t>
      </text>
    </comment>
    <comment authorId="0" ref="U116">
      <text>
        <t xml:space="preserve">Every 15 seconds, creates a shield in front of the ship that lasts 8 seconds and can block up to 6 enemy shells.
If the shield is destroyed before it despawns, this ship fires a barrage and increases this ship's Firepower and Accuracy by 8% for the rest of battle.  Can stack twice.</t>
      </text>
    </comment>
    <comment authorId="0" ref="V116">
      <text>
        <t xml:space="preserve">If this ship is the lead Vanguard ship at the start of battle, increase this ship's Speed by 5 and Evasion by 12% for the battle, and decreases Damage taken by 15% for 30 seconds.
If not at the lead position, increases this ship's Crit Damage by 25%.  Also, every 15 seconds, has a 70% chance to fire a barrage.</t>
      </text>
    </comment>
    <comment authorId="0" ref="W116">
      <text>
        <t xml:space="preserve">Increase damage to Sirens by 15%</t>
      </text>
    </comment>
    <comment authorId="0" ref="U117">
      <text>
        <t xml:space="preserve">For 90 seconds after battle starts; Increase this ship's Firepower by 15%.
Every 20 seconds, fire a Grid Beam (Skill-based damage).
If this ship has Battle Tracto Max or Buster Borr equipped, or if this ship is sortied with Namiko or Hass, this skill is enhanced.</t>
      </text>
    </comment>
    <comment authorId="0" ref="V117">
      <text>
        <t xml:space="preserve">For 90 seconds after battle starts, increase this ship's AA by 15% and decrease her damage taken from cannons by 8%.
5 Seconds after battle starts, and every 30 seconds, fires a special barrage (Skill-based damage).
If this ship has Gridman Calibur or Sky Vitter equipped, or if this ship is sortied with Namiko or Hass, this skill is enhanced.</t>
      </text>
    </comment>
    <comment authorId="0" ref="W117">
      <text>
        <t xml:space="preserve">40 Seconds after battle starts, fires a Grid Fixer Beam (Skill-based damage), and heals your fleet 3 times for 1% max HP per.
Once a battle, when this ship falls below 50% HP from damage taken, heals the fleet.</t>
      </text>
    </comment>
    <comment authorId="0" ref="U118">
      <text>
        <t xml:space="preserve">Every 10 times this ship fires her main weapon, launch a special missile barrage using Buster Borr, and deploy a smokescreen that lasts for 5 seconds (Skill-based damage).
The smokescreen will remove any burn effects on friendly ships that enter it.</t>
      </text>
    </comment>
    <comment authorId="0" ref="V118">
      <text>
        <t xml:space="preserve">5 Seconds after battle starts, and with a 70% chance every 20 seconds afterward, fire a laser barrage using Sky Vittor, and increases this ship's AA by 8%.  AA buff can be stacked twice each battle.</t>
      </text>
    </comment>
    <comment authorId="0" ref="U119">
      <text>
        <t xml:space="preserve">When this ship's fleet defeats an enemy fleet, increase this ship's Damage dealt by 6%.  Can stack 4 times.
When this ship sinks an enemy, increase this ship's Accuracy and Evasion by 5%.  Can stack 4 times.</t>
      </text>
    </comment>
    <comment authorId="0" ref="V119">
      <text>
        <t xml:space="preserve">Increase this ship's AA by 15%
3 Seconds after battle starts and with a 70% chance every 20 seconds afterward, fire a barrage (Skill-based damage).
If the barrage doesn't activate, increase this ship's Firepower and Torpedo by 10% (Can stack twice).
When stacked twice, increase the proc chance to 100%.
After the 2nd and 4th battles the ship fights, improves this barrage.</t>
      </text>
    </comment>
  </commentList>
</comments>
</file>

<file path=xl/comments4.xml><?xml version="1.0" encoding="utf-8"?>
<comments xmlns:r="http://schemas.openxmlformats.org/officeDocument/2006/relationships" xmlns="http://schemas.openxmlformats.org/spreadsheetml/2006/main">
  <authors>
    <author/>
  </authors>
  <commentList>
    <comment authorId="0" ref="E1">
      <text>
        <t xml:space="preserve">Hit Points/Health</t>
      </text>
    </comment>
    <comment authorId="0" ref="F1">
      <text>
        <t xml:space="preserve">Firepower</t>
      </text>
    </comment>
    <comment authorId="0" ref="G1">
      <text>
        <t xml:space="preserve">Torpedo</t>
      </text>
    </comment>
    <comment authorId="0" ref="H1">
      <text>
        <t xml:space="preserve">Aviation/Airpower</t>
      </text>
    </comment>
    <comment authorId="0" ref="I1">
      <text>
        <t xml:space="preserve">Anti-Air</t>
      </text>
    </comment>
    <comment authorId="0" ref="J1">
      <text>
        <t xml:space="preserve">Reload</t>
      </text>
    </comment>
    <comment authorId="0" ref="K1">
      <text>
        <t xml:space="preserve">Evasion</t>
      </text>
    </comment>
    <comment authorId="0" ref="M1">
      <text>
        <t xml:space="preserve">Speed (Affects battle move speed and sortie move distance.)</t>
      </text>
    </comment>
    <comment authorId="0" ref="N1">
      <text>
        <t xml:space="preserve">Accuracy</t>
      </text>
    </comment>
    <comment authorId="0" ref="O1">
      <text>
        <t xml:space="preserve">Luck</t>
      </text>
    </comment>
    <comment authorId="0" ref="P1">
      <text>
        <t xml:space="preserve">Anti-Submarine Warfare</t>
      </text>
    </comment>
    <comment authorId="0" ref="Q1">
      <text>
        <t xml:space="preserve">Oil Cost</t>
      </text>
    </comment>
    <comment authorId="0" ref="R1">
      <text>
        <t xml:space="preserve">Oxygen</t>
      </text>
    </comment>
    <comment authorId="0" ref="S1">
      <text>
        <t xml:space="preserve">Ammunition</t>
      </text>
    </comment>
    <comment authorId="0" ref="U2">
      <text>
        <t xml:space="preserve">Every 20 seconds, 25% chance to increase entire fleet's Reload by 25% for 8 seconds.</t>
      </text>
    </comment>
    <comment authorId="0" ref="U3">
      <text>
        <t xml:space="preserve">Every 20 seconds, 60% chance to increase own Firepower by 40% for 10 seconds.</t>
      </text>
    </comment>
    <comment authorId="0" ref="U4">
      <text>
        <t xml:space="preserve">Increase Firepower of Cruisers by 15%</t>
      </text>
    </comment>
    <comment authorId="0" ref="U5">
      <text>
        <t xml:space="preserve">30% chance to inflict double damage with main gun.</t>
      </text>
    </comment>
    <comment authorId="0" ref="U6">
      <text>
        <t xml:space="preserve">When firing main gun, 20% chance to increase Evasion by 100% for 15 seconds.</t>
      </text>
    </comment>
    <comment authorId="0" ref="U7">
      <text>
        <t xml:space="preserve">When paired with Indianapolis, increase own Firepower, AA, and Reload by 15%</t>
      </text>
    </comment>
    <comment authorId="0" ref="V7">
      <text>
        <t xml:space="preserve">Every 20 seconds, 25% chance to decrease damage taken by entire fleet by 15% for 8 seconds.</t>
      </text>
    </comment>
    <comment authorId="0" ref="U8">
      <text>
        <t xml:space="preserve">When paired with Indianapolis, increase own Firepower, AA, and Reload by 15%</t>
      </text>
    </comment>
    <comment authorId="0" ref="V8">
      <text>
        <t xml:space="preserve">Every 20 seconds, 25% chance to decrease damage taken by entire fleet by 15% for 8 seconds.</t>
      </text>
    </comment>
    <comment authorId="0" ref="U9">
      <text>
        <t xml:space="preserve">Every 30 seconds, spawns 2 rotating shields for 15 seconds that block up to 8 shots each.  When broken, deals a small amount of damage to nearby enemies.</t>
      </text>
    </comment>
    <comment authorId="0" ref="V9">
      <text>
        <t xml:space="preserve">8% chance to decease damage received by 50%</t>
      </text>
    </comment>
    <comment authorId="0" ref="U10">
      <text>
        <t xml:space="preserve">When sortied with New Orleans-class ships, increase all New Orleans-class cruisers' Accuracy and AA by 20% and Firepower 10%</t>
      </text>
    </comment>
    <comment authorId="0" ref="V10">
      <text>
        <t xml:space="preserve">Reduce received gun damage from DDs and CLs by 20%</t>
      </text>
    </comment>
    <comment authorId="0" ref="U11">
      <text>
        <t xml:space="preserve">Every 20 seconds, 60% chance to increase own Firepower by 40% for 10 seconds.</t>
      </text>
    </comment>
    <comment authorId="0" ref="V11">
      <text>
        <t xml:space="preserve">Reduce received gun damage from DDs and CLs by 20%</t>
      </text>
    </comment>
    <comment authorId="0" ref="U12">
      <text>
        <t xml:space="preserve">Every 20 seconds, 60% chance to increase own Firepower by 40% for 10 seconds.</t>
      </text>
    </comment>
    <comment authorId="0" ref="V12">
      <text>
        <t xml:space="preserve">Reduce received gun damage from DDs and CLs by 20%</t>
      </text>
    </comment>
    <comment authorId="0" ref="U13">
      <text>
        <t xml:space="preserve">Increase Firepower of Cruisers by 15%</t>
      </text>
    </comment>
    <comment authorId="0" ref="V13">
      <text>
        <t xml:space="preserve">25% chance to fire main gun twice</t>
      </text>
    </comment>
    <comment authorId="0" ref="U14">
      <text>
        <t xml:space="preserve">Main gun ammo changed to AP, with better modifiers (Normal CA AP damage to light/medium/heavy armor is 75%/110%/75%, this skill increases it to 85%/120%/85%)  Additionally, each main gun shell has a 3.5% chance to Armor Break heavy armor ships.</t>
      </text>
    </comment>
    <comment authorId="0" ref="V14">
      <text>
        <t xml:space="preserve">Increases Eagle Union CV and CVL Aviation by 15% and increases fleet AA by 7%.
If there are no Eagle Union carriers in Baltimore's fleet, increase own Firepower by 12% and Evasion by 15%.</t>
      </text>
    </comment>
    <comment authorId="0" ref="U15">
      <text>
        <t xml:space="preserve">Increase Firepower of Vanguard by 15%</t>
      </text>
    </comment>
    <comment authorId="0" ref="U16">
      <text>
        <t xml:space="preserve">Increase Firepower of Vanguard by 15%</t>
      </text>
    </comment>
    <comment authorId="0" ref="W16">
      <text>
        <t xml:space="preserve">30% chance to inflict double damage with main gun.
Increase Accuracy by 1.5% when destroying an enemy ship.  Can stack 8 times.</t>
      </text>
    </comment>
    <comment authorId="0" ref="U17">
      <text>
        <t xml:space="preserve">25% chance to fire main gun twice</t>
      </text>
    </comment>
    <comment authorId="0" ref="U18">
      <text>
        <t xml:space="preserve">Every 20 seconds, 25% chance to increase fleet damage by 25% for 8 seconds.</t>
      </text>
    </comment>
    <comment authorId="0" ref="U19">
      <text>
        <t xml:space="preserve">25% chance to fire main gun twice</t>
      </text>
    </comment>
    <comment authorId="0" ref="U20">
      <text>
        <t xml:space="preserve">25% chance to fire main gun twice</t>
      </text>
    </comment>
    <comment authorId="0" ref="W20">
      <text>
        <t xml:space="preserve">Every 20 seconds, 60% chance to increase own Firepower by 40% for 10 seconds.</t>
      </text>
    </comment>
    <comment authorId="0" ref="U21">
      <text>
        <t xml:space="preserve">When taking damage, 15% chance to create frontal shield that blocks up to 12 shots, for 15 seconds.</t>
      </text>
    </comment>
    <comment authorId="0" ref="U22">
      <text>
        <t xml:space="preserve">Increase torp crit rate by 40% and crit damage by 50%</t>
      </text>
    </comment>
    <comment authorId="0" ref="U23">
      <text>
        <t xml:space="preserve">When firing, 20% chance to increase Firepower by 40% for 8 seconds.</t>
      </text>
    </comment>
    <comment authorId="0" ref="U24">
      <text>
        <t xml:space="preserve">When firing, 20% chance to increase Firepower by 40% for 8 seconds.</t>
      </text>
    </comment>
    <comment authorId="0" ref="W24">
      <text>
        <t xml:space="preserve">Decrease burning and suicide boat damage received by 40% and HE damage received by 15%
Secondary weapon damage crit chance increased by 70% and ignores armor type.</t>
      </text>
    </comment>
    <comment authorId="0" ref="U25">
      <text>
        <t xml:space="preserve">Every 20 seconds, 60% chance to increase own Firepower by 40% for 10 seconds.</t>
      </text>
    </comment>
    <comment authorId="0" ref="V25">
      <text>
        <t xml:space="preserve">Every 20 seconds, 25% chance to decrease damage taken by entire fleet by 15% for 8 seconds.</t>
      </text>
    </comment>
    <comment authorId="0" ref="U26">
      <text>
        <t xml:space="preserve">Every 20 seconds, 60% chance to increase own Firepower by 40% for 10 seconds.</t>
      </text>
    </comment>
    <comment authorId="0" ref="V26">
      <text>
        <t xml:space="preserve">Every 20 seconds, 25% chance to decrease damage taken by entire fleet by 15% for 8 seconds.</t>
      </text>
    </comment>
    <comment authorId="0" ref="W26">
      <text>
        <t xml:space="preserve">When in the same fleet as Graf Spee;
Increase this ship's Evasion and Torpedo by 15%, and deal 25% more damage to medium-armored enemies.  Hitting enemies with 4 Main Guns attacks slows that ship by 30% for 5 seconds.</t>
      </text>
    </comment>
    <comment authorId="0" ref="U27">
      <text>
        <t xml:space="preserve">Every 20 seconds, 60% chance to increase own Firepower by 40% for 10 seconds.</t>
      </text>
    </comment>
    <comment authorId="0" ref="V27">
      <text>
        <t xml:space="preserve">Reduce AP damage taken by 20%</t>
      </text>
    </comment>
    <comment authorId="0" ref="W27">
      <text>
        <t xml:space="preserve">When own torpedoes hit 5 times, increase own Firepower by 8%.
Can be stacked 3 times.</t>
      </text>
    </comment>
    <comment authorId="0" ref="U28">
      <text>
        <t xml:space="preserve">Every 20 seconds, 60% chance to increase own Firepower by 40% for 10 seconds.</t>
      </text>
    </comment>
    <comment authorId="0" ref="U29">
      <text>
        <t xml:space="preserve">Every 20 seconds, 60% chance to increase own Firepower by 40% for 10 seconds.</t>
      </text>
    </comment>
    <comment authorId="0" ref="W29">
      <text>
        <t xml:space="preserve">30% chance to launch a second wave of torpedoes.</t>
      </text>
    </comment>
    <comment authorId="0" ref="U30">
      <text>
        <t xml:space="preserve">Every 20 seconds, 60% chance to increase own Firepower by 40% for 10 seconds.</t>
      </text>
    </comment>
    <comment authorId="0" ref="U31">
      <text>
        <t xml:space="preserve">Every 20 seconds, 60% chance to increase own Firepower by 40% for 10 seconds.</t>
      </text>
    </comment>
    <comment authorId="0" ref="W31">
      <text>
        <t xml:space="preserve">30% chance to launch a second wave of torpedoes.</t>
      </text>
    </comment>
    <comment authorId="0" ref="U32">
      <text>
        <t xml:space="preserve">Every 20 seconds, 60% chance to increase own Firepower by 40% for 10 seconds.</t>
      </text>
    </comment>
    <comment authorId="0" ref="U33">
      <text>
        <t xml:space="preserve">Every 20 seconds, 60% chance to increase own Firepower by 40% for 10 seconds.</t>
      </text>
    </comment>
    <comment authorId="0" ref="U34">
      <text>
        <t xml:space="preserve">At the start of battle and every 20 seconds afterward:
Decrease this ship's speed by 5% for 3 seconds and fire a special barrage (Firepower and skill-based damage)
Enemies hit by the barrage's seaplanes will have their speed reduced by 30% for 5 seconds and two effects activate:
1.  If there's a Sakura CV afloat when the barrage is fired, 50% chance to cause enemies hit by the barrage to take 6% more Aircraft Damage for 8 seconds.
2.  100% chance to inflict one of the following debuffs for 10 seconds;
  a)  Decrease enemy Evasion by 10%
  b)  Decrease enemy Accuracy by 10%
  c)  Decrease enemy Damage Dealt by 10%</t>
      </text>
    </comment>
    <comment authorId="0" ref="V34">
      <text>
        <t xml:space="preserve">When this ship's speed is reduced from her own skills, increase this ship's Evasion RATE by 10% for the slowdown's duration.
Decrease this ship's Damage Taken by 20%.
When this ship takes damage, 70% chance to decrease own Speed by 10% and increase this ship's Reload, Firepower, and Evasion by 20% for 7 seconds.  (10 Second cooldown.)</t>
      </text>
    </comment>
    <comment authorId="0" ref="U35">
      <text>
        <t xml:space="preserve">Every 20 seconds, 40% chance to redirect 50% of damage taken to Vanguard to self for 8 seconds.  </t>
      </text>
    </comment>
    <comment authorId="0" ref="U36">
      <text>
        <t xml:space="preserve">Every 20 seconds, 40% chance to redirect 50% of damage taken to Vanguard to self for 8 seconds.  </t>
      </text>
    </comment>
    <comment authorId="0" ref="U37">
      <text>
        <t xml:space="preserve">Every 20 seconds, 70% chance to launch a special barrage, increase Firepower by 20% and damage against Cruisers by 20% for 10 seconds.</t>
      </text>
    </comment>
    <comment authorId="0" ref="U38">
      <text>
        <t xml:space="preserve">30% chance to inflict double damage with main gun.</t>
      </text>
    </comment>
    <comment authorId="0" ref="V38">
      <text>
        <t xml:space="preserve">30% chance to launch a second wave of torpedoes.</t>
      </text>
    </comment>
    <comment authorId="0" ref="X38">
      <text>
        <t xml:space="preserve">The first All Out Assault per battle increases this ship's Evasion RATE by 10% until the end of battle.  Doesn't stack.</t>
      </text>
    </comment>
    <comment authorId="0" ref="U39">
      <text>
        <t xml:space="preserve">Increase HE damage by 15%, chance to ignite by 12%, and Burn damage by 50%</t>
      </text>
    </comment>
    <comment authorId="0" ref="V39">
      <text>
        <t xml:space="preserve">30% chance to launch a second wave of torpedoes.</t>
      </text>
    </comment>
    <comment authorId="0" ref="X39">
      <text>
        <t xml:space="preserve">The first All Out Assault per battle increases this ship's Evasion RATE by 10% until the end of battle.  Doesn't stack.</t>
      </text>
    </comment>
    <comment authorId="0" ref="U40">
      <text>
        <t xml:space="preserve">Increase Reload by 35%.
30% chance to launch a second wave of torpedoes.</t>
      </text>
    </comment>
    <comment authorId="0" ref="X40">
      <text>
        <t xml:space="preserve">The first All Out Assault per battle increases this ship's Evasion RATE by 10% until the end of battle.  Doesn't stack.</t>
      </text>
    </comment>
    <comment authorId="0" ref="U41">
      <text>
        <t xml:space="preserve">Increase own Firepower by 10%.
Every 20 seconds,  60% chance to increase all Cruisers' Firepower and Torpedo stats by 20% for 10 seconds.</t>
      </text>
    </comment>
    <comment authorId="0" ref="V41">
      <text>
        <t xml:space="preserve">30% chance to inflict double damage with main gun.</t>
      </text>
    </comment>
    <comment authorId="0" ref="X41">
      <text>
        <t xml:space="preserve">The first All Out Assault per battle increases this ship's Evasion RATE by 10% until the end of battle.  Doesn't stack.</t>
      </text>
    </comment>
    <comment authorId="0" ref="U42">
      <text>
        <t xml:space="preserve">Every 30 seconds, spawn 2 rotating shields which blocks 10 bullets each for 15 seconds.</t>
      </text>
    </comment>
    <comment authorId="0" ref="V42">
      <text>
        <t xml:space="preserve">8% chance to decease damage received by 50%</t>
      </text>
    </comment>
    <comment authorId="0" ref="U43">
      <text>
        <t xml:space="preserve">Every 20 seconds, 70% chance to spawn 3 rotating shields that block 10 shots each for 10 seconds.</t>
      </text>
    </comment>
    <comment authorId="0" ref="U44">
      <text>
        <t xml:space="preserve">Increase damage against DDs and CLs by 35%</t>
      </text>
    </comment>
    <comment authorId="0" ref="U45">
      <text>
        <t xml:space="preserve">Increase damage against DDs and CLs by 35%</t>
      </text>
    </comment>
    <comment authorId="0" ref="U46">
      <text>
        <t xml:space="preserve">25% chance to fire main gun twice</t>
      </text>
    </comment>
    <comment authorId="0" ref="U47">
      <text>
        <t xml:space="preserve">When destroying an enemy, increase own Firepower by 15% and Reload by 30% for 12 seconds.  Activates once a second and does not stack, but does refresh.</t>
      </text>
    </comment>
    <comment authorId="0" ref="V47">
      <text>
        <t xml:space="preserve">When HP falls under 30%, decrease damage received by 10%.  For the next 16 seconds, decrease Speed by 2,  and recover 4% max health every 3 seconds.  Can only occur once per battle.</t>
      </text>
    </comment>
    <comment authorId="0" ref="U48">
      <text>
        <t xml:space="preserve">When main gun hits 8 times, increase own Firepower by 5% and Reload by 25%.  Can stack 3 times.
At max stacks, enhance barrage pattern.</t>
      </text>
    </comment>
    <comment authorId="0" ref="V48">
      <text>
        <t xml:space="preserve">Reduce AP damage taken by 20%</t>
      </text>
    </comment>
    <comment authorId="0" ref="U49">
      <text>
        <t xml:space="preserve">When taking damage: 18% chance to deploy 2 shields that block up to 10 shells each and last for 12 seconds.</t>
      </text>
    </comment>
    <comment authorId="0" ref="V49">
      <text>
        <t xml:space="preserve">When equipped with an HE or SAP main gun, increase main gun Damage dealt by 12%, but cannot ignite enemies.
When equipped with an AP main gun, 8% chance to cause enemies hit with the main gun to take 15% more damage from this ship for 10 seconds.</t>
      </text>
    </comment>
    <comment authorId="0" ref="U50">
      <text>
        <t xml:space="preserve">Every 20 seconds, 60% chance to increase own Firepower by 40% for 10 seconds.</t>
      </text>
    </comment>
    <comment authorId="0" ref="U51">
      <text>
        <t xml:space="preserve">At the start of battle and 70% chance to activate every 20 seconds afterward, change main gun ammo to red musical notes for 12 seconds.</t>
      </text>
    </comment>
    <comment authorId="0" ref="V51">
      <text>
        <t xml:space="preserve">Spawns 2 rotating shields every 30 seconds that each block 10 shells, and lasts for 15 seconds.
If placed at front of Vanguard, skill activates at start of battle.</t>
      </text>
    </comment>
    <comment authorId="0" ref="U52">
      <text>
        <t xml:space="preserve">When firing Main Guns;
30% chance to increase this ship's Main Gun Damage by 30% for 3 seconds (5 second cooldown).
70% chance to fire a barrage that burns targets hit for 6 seconds (10 second cooldown).</t>
      </text>
    </comment>
    <comment authorId="0" ref="V52">
      <text>
        <t xml:space="preserve">If this ship is the Vanguard lead ship, decrease this ship's Damage taken by 20% for 30 seconds after battle starts.
If not in lead position, increase this ship's AA by 25%.</t>
      </text>
    </comment>
    <comment authorId="0" ref="U53">
      <text>
        <t xml:space="preserve">Deal 15% more damage to ships that are burning
20 Seconds after battle starts, fire a barrage that causes burning.
When firing main guns, 70% chance to fire this barrage (Though this has a 10 second cooldown)</t>
      </text>
    </comment>
    <comment authorId="0" ref="V53">
      <text>
        <t xml:space="preserve">Gain a shield for 20 seconds at the start of battle and every 30 seconds afterward, which blocks up to 5 torpedoes.
While this shield is up, increase this ship's Firepower by 15% and damage dealt to DDs and BBs by 12%
Gain 15% Evasion and 8 Speed 5 seconds after turning auto-mode off.  Entering auto-mode again ends this buff.</t>
      </text>
    </comment>
    <comment authorId="0" ref="U54">
      <text>
        <t xml:space="preserve">After taking damage three times, reduce this ship's damage taken by 8% for the rest of the battle.
On the 2nd, 4th, and 6th battle of each sortie, heal 10% of this ship's max HP 60 seconds after battle starts.</t>
      </text>
    </comment>
    <comment authorId="0" ref="V54">
      <text>
        <t xml:space="preserve">Reduce AP damage taken by 20%</t>
      </text>
    </comment>
    <comment authorId="0" ref="U55">
      <text>
        <t xml:space="preserve">At the start of battle, and with a 70% chance every 20 seconds afterward, change this ship's ammo type to a Special AP for 10 seconds.</t>
      </text>
    </comment>
    <comment authorId="0" ref="V55">
      <text>
        <t xml:space="preserve">At the start of battle, if there's a CV, CVL, or Muse ship in the same fleet; Increase this ship's Evasion by 15% and increase Vanguard's AA by 15%</t>
      </text>
    </comment>
    <comment authorId="0" ref="U56">
      <text>
        <t xml:space="preserve">Every 15 seconds, fire a Muse barrage that increases damage taken by 10% for 6 seconds to all enemies hit.
If only one enemy is hit, then their speed is also set to zero for 3 seconds and this ship fires an additional torpedo barrage (Skill-based damage).</t>
      </text>
    </comment>
    <comment authorId="0" ref="V56">
      <text>
        <t xml:space="preserve">At the start of battle and every 30 seconds afterward, deploy 2 shields that last for 15 seconds.
The blue shield blocks up to 8 enemy shells.
The red shield causes damage to enemies upon contact up to 8 times.</t>
      </text>
    </comment>
    <comment authorId="0" ref="U57">
      <text>
        <t xml:space="preserve">If there's at least one other Ironblood ship in the fleet, increase this ship's Reload and Evasion by 15%.
When firing the main guns, 50% chance to increase this ship's main gun damage by 25% for 3 seconds.  (7 second cooldown)</t>
      </text>
    </comment>
    <comment authorId="0" ref="V57">
      <text>
        <t xml:space="preserve">Every 20 seconds after battle starts, fire a special barrage (Skill-based damage), and deploys one of 2 shield types for 10 seconds;
One blocks 2 torpedoes, the other blocks 10 shells.</t>
      </text>
    </comment>
    <comment authorId="0" ref="U58">
      <text>
        <t xml:space="preserve">When firing Main guns, 50% chance to fire a special barrage with a 10 second cooldown.  (Skill-based damage)
If there are two or more Sardegna Empire ships in the fleet (Including this ship), increase proc chance by 20%.</t>
      </text>
    </comment>
    <comment authorId="0" ref="V58">
      <text>
        <t xml:space="preserve">Increase this ship's Evasion by 15% for the first 45 seconds of each battle.
As long as this ship is afloat, increase Firepower by 10% and AA by 15% for all Sardegna Empire Vanguard ships, and decrease damage taken by Zara-class CAs by 6%.</t>
      </text>
    </comment>
    <comment authorId="0" ref="U59">
      <text>
        <t xml:space="preserve">Every 18 seconds, create a shield in front of this ship that blocks up to 8 shells and lasts up to 8 seconds.
If the shield breaks before it expires;
Fire a special barrage (Skill-based damage),
And applies a barrier on this ship that can absorb up to 5% of this ship's max HP and lasts up to 4 seconds.
</t>
      </text>
    </comment>
    <comment authorId="0" ref="V59">
      <text>
        <t xml:space="preserve">When this ship is equipped with a Northern Parliament or Ironblood main gun, increase all damage dealt by this ship by 12%.
When equipped with an AP main gun, increase that weapons' shell speed by 10%.
After sinking 2 enemies in battle, increase this ship's Firepower and AA by 8% until the end of battle.</t>
      </text>
    </comment>
    <comment authorId="0" ref="U60">
      <text>
        <t xml:space="preserve">Every 10 seconds after the start of the battle: 75% chance to fire a special barrage (DMG is based on the skill's level).
If this barrage fails to activate, instead increases this ship's AA and Accuracy by 10% for 5 seconds.</t>
      </text>
    </comment>
    <comment authorId="0" ref="V60">
      <text>
        <t xml:space="preserve">Increase this ship's Evasion and AA by 10%.  If this ship is placed;
  Front (Or only):  Increase this ship's Evasion and AA by 5% and decrease Damage taken by 15%
  Middle:  Heals all ships in the Vanguard for 10% of the max HP, 20 seconds after battle starts.
  Rear:  Increase this ship's Firepower by 15% and AA by 10%, and increase the whole Vanguard's Damage dealt by 5%.</t>
      </text>
    </comment>
    <comment authorId="0" ref="U61">
      <text>
        <t xml:space="preserve">When attacked, 8% chance to increase own damage by 25% for 8 seconds.</t>
      </text>
    </comment>
    <comment authorId="0" ref="U62">
      <text>
        <t xml:space="preserve">Main gun ignores enemy armor type.  Increases main gun damage by 15%</t>
      </text>
    </comment>
    <comment authorId="0" ref="V62">
      <text>
        <t xml:space="preserve">Every 20 seconds, 40% chance to release a powerful barrage.</t>
      </text>
    </comment>
    <comment authorId="0" ref="U63">
      <text>
        <t xml:space="preserve">Increase Firepower by 6% for every other Kizuna in fleet, stacks to 4.
If she's the only Kizuna in the fleet, decrease damage taken by 15% for first 30 seconds of battle</t>
      </text>
    </comment>
    <comment authorId="0" ref="V63">
      <text>
        <t xml:space="preserve">Reduces fire length by 3 seconds.
Reduces HE damage taken by 15%</t>
      </text>
    </comment>
    <comment authorId="0" ref="U64">
      <text>
        <t xml:space="preserve">Every 20 seconds, 70% chance to increase damage dealt by self by 8%.  Can stack up to 3 times.</t>
      </text>
    </comment>
    <comment authorId="0" ref="V64">
      <text>
        <t xml:space="preserve">Every 15 seconds, launch a slash attack that has a 50% chance to inflict Armor Break on enemies for 6 seconds.</t>
      </text>
    </comment>
    <comment authorId="0" ref="U65">
      <text>
        <t xml:space="preserve">Every 15 seconds after battle starts and every time this ship lands 6 torpedo hits, fire a special barrage (Skill-based damage).</t>
      </text>
    </comment>
    <comment authorId="0" ref="V65">
      <text>
        <t xml:space="preserve">When this ship sinks an enemy, increase this ship's Firepower and Reload by 5%.  Can stack 3 times.
After sinking 3 enemies, increase this ship's Accuracy by 15% for the rest of the battle.</t>
      </text>
    </comment>
    <comment authorId="0" ref="U66">
      <text>
        <t xml:space="preserve">When this ship fires her Main Guns: 30% chance to increase this ship's Main Gun DMG by 50% for 3 seconds and AA by 15% for 5 seconds. This effect may only activate once every 5 seconds.</t>
      </text>
    </comment>
    <comment authorId="0" ref="V66">
      <text>
        <t xml:space="preserve">As long as this ship is afloat: decreases your Main Fleet's DMG taken by 5%) At the start of the battle: tells a fortune and receives one of the following effects:
  1) Increases this ship's EVA by 12%
  2) Increases this ship's Accuracy by 12%
  3) Increases this ship's FP by 12%
  4) Heals this ship for 15% HP.</t>
      </text>
    </comment>
    <comment authorId="0" ref="W66">
      <text>
        <t xml:space="preserve">Fires a special barrage every 20 seconds after battle starts.
If this ship is the only Vanguard ship when this procs, she becomes lost and stops in place for 2 seconds.  Poor waifu...</t>
      </text>
    </comment>
    <comment authorId="0" ref="U67">
      <text>
        <t xml:space="preserve">Increase Torpedo Crit rate by 40% and Crit damage by 65%.
After every torpedo launch, increase this ship's Evasion by 12% for 6 seconds.</t>
      </text>
    </comment>
    <comment authorId="0" ref="V67">
      <text>
        <t xml:space="preserve">When firing torpedoes, 30% chance to launch a special barrage</t>
      </text>
    </comment>
    <comment authorId="0" ref="W67">
      <text>
        <t xml:space="preserve">Increase damage to Sirens by 15%</t>
      </text>
    </comment>
    <comment authorId="0" ref="U68">
      <text>
        <t xml:space="preserve">Main gun property changed to HE.  When firing main gun, increase Reload by 3.5%.  Can stack up to 12 times.  Every 2 rounds, main gun switches between HE and AP.</t>
      </text>
    </comment>
    <comment authorId="0" ref="V68">
      <text>
        <t xml:space="preserve">At the start of battle and every 30 seconds afterward, spawn 4 rotating shields that absorb 8 shots each, lasts 15 seconds.</t>
      </text>
    </comment>
    <comment authorId="0" ref="W68">
      <text>
        <t xml:space="preserve">Increase damage to Sirens by 15%</t>
      </text>
    </comment>
    <comment authorId="0" ref="U69">
      <text>
        <t xml:space="preserve">Increase HE damage by 25%, chance to ignite by 30%</t>
      </text>
    </comment>
    <comment authorId="0" ref="V69">
      <text>
        <t xml:space="preserve">Increase this ship's speed by 8.  Once battle starts, increase this ship's Evasion by 35% for 50 seconds.</t>
      </text>
    </comment>
    <comment authorId="0" ref="W69">
      <text>
        <t xml:space="preserve">Increase damage to Sirens by 15%</t>
      </text>
    </comment>
    <comment authorId="0" ref="U70">
      <text>
        <t xml:space="preserve">Decrease damage taken by this ship by 15%
100% chance to fire a barrage every 12 seconds after battle starts.</t>
      </text>
    </comment>
    <comment authorId="0" ref="V70">
      <text>
        <t xml:space="preserve">Decreases load time of first torpedo wave by 70%.
When this ship takes damage, 15% chance to increase this ship's Firepower, Evasion, and AA by 5% for the rest of the battle.  Can be stacked 3 times.</t>
      </text>
    </comment>
    <comment authorId="0" ref="W70">
      <text>
        <t xml:space="preserve">Increase damage to Sirens by 15%</t>
      </text>
    </comment>
    <comment authorId="0" ref="U71">
      <text>
        <t xml:space="preserve">Increase this ship's secondary gun crit rate by 50%, and improves its ammo.
When using an HE/Normal main gun, this ship's ammo type changes to special HE, which has a chance to proc a special burn.</t>
      </text>
    </comment>
    <comment authorId="0" ref="V71">
      <text>
        <t xml:space="preserve">Every 20 seconds, fires a barrage that ignores shields and heals this ship for 15% of the Damage dealt.
When this ship sinks an enemy, increase this ship's Firepower and Evasion by 5% and Reload by 7% for the rest of battle.  Can stack 3 times.
If this ship starts battle at the front of the Vanguard, all 3 stacks are immediately applied.</t>
      </text>
    </comment>
    <comment authorId="0" ref="W71">
      <text>
        <t xml:space="preserve">Increase damage to Sirens by 15%</t>
      </text>
    </comment>
    <comment authorId="0" ref="U72">
      <text>
        <t xml:space="preserve">Increases this ship's EVA by 15%. When this ship fires its Torpedoes: 75% chance to fire a special barrage (DMG is based on skill's level); If this barrage fails to activate: decreases the loading time of this ship's next wave of Torpedoes by 3 seconds.</t>
      </text>
    </comment>
    <comment authorId="0" ref="V72">
      <text>
        <t xml:space="preserve">When this ship fires its Torpedoes: deploys a smokescreen, and a barrier onto this ship. This smokescreen increases Evasion Rate by 40% for all ships inside it (does not stack with other smokescreen skills). The barrier lasts 5 seconds and can absorb DMG up to 6% of this ship's max HP. If this barrier is destroyed before it expires: increases this ship's Evasion Rate to 100% for 2 seconds.</t>
      </text>
    </comment>
    <comment authorId="0" ref="W72">
      <text>
        <t xml:space="preserve">Increase damage to Sirens by 15%</t>
      </text>
    </comment>
    <comment authorId="0" ref="B73">
      <text>
        <t xml:space="preserve">CB = Large Cruiser.  For all intents and purposes, it's a Heavy Cruiser (CA), and will be treated as such in this spreadsheet.</t>
      </text>
    </comment>
    <comment authorId="0" ref="U73">
      <text>
        <t xml:space="preserve">When equipped with 280mm or higher caliber main gun, increase main gun damage by 25%, depending on distance shells travel.
Increase own burn damage dealt to enemies by 50%.</t>
      </text>
    </comment>
    <comment authorId="0" ref="V73">
      <text>
        <t xml:space="preserve">70% chance every 20 seconds to increase own Evasion by 20% and Accuracy by 50% for 12 seconds.</t>
      </text>
    </comment>
    <comment authorId="0" ref="W73">
      <text>
        <t xml:space="preserve">Increase damage to Sirens by 15%</t>
      </text>
    </comment>
    <comment authorId="0" ref="X73">
      <text>
        <t xml:space="preserve">When equipped with Prototype 310mm, main gun efficiency increased by 12%, decrease barrage requirement to 4 shots, improves barrage.</t>
      </text>
    </comment>
    <comment authorId="0" ref="U74">
      <text>
        <t xml:space="preserve">When this ship's Torpedo hits an enemy: decreases that enemy's Speed by 60% for 5 seconds. As long as this ship is not Out of Ammo, increases this ship's EVA by 15%.</t>
      </text>
    </comment>
    <comment authorId="0" ref="V74">
      <text>
        <t xml:space="preserve">If this ship is equipped with a Normal or AP Main Gun: decreases this ship's DMG taken by 15% and increases Crit Rate by 12%;
If equipped with a HE Main Gun: increases this ship's DMG dealt by 12%, but makes her unable to Burn enemies.
If the equipped Main Gun is high-caliber (280mm or more): increases this ship's Main Gun Efficiency by 12%.</t>
      </text>
    </comment>
    <comment authorId="0" ref="W74">
      <text>
        <t xml:space="preserve">Increase damage to Sirens by 15%</t>
      </text>
    </comment>
    <comment authorId="0" ref="X74">
      <text>
        <t xml:space="preserve">If there are no enemies nearby when this ship fires its Main Guns: inflicts Armor Break effect to all enemies hit by this ship's Main Gun. Once every 8 times this ship fires its Main Guns, fires a special barrage (DMG is based on skill's level). If this ship's Main Gun is high-caliber (280mm or more): decreases the number of shots required to 4.</t>
      </text>
    </comment>
    <comment authorId="0" ref="U75">
      <text>
        <t xml:space="preserve">Increase this ship's Firepower and AA by 15%.
If this ship's fleet is out of ammo, reduces the effect of the debuff by 15%</t>
      </text>
    </comment>
    <comment authorId="0" ref="V75">
      <text>
        <t xml:space="preserve">Increase this ship's Damage to CAs and CBs by 20%.
Every 20 seconds, 70% chance to increase this ship's Accuracy and Reload by 20% for 10 seconds.</t>
      </text>
    </comment>
    <comment authorId="0" ref="U76">
      <text>
        <t xml:space="preserve">At the start of battle, if this ship is leading a full Vanguard, decrease this ship's Damage Taken by 10% and increases Damage Dealt by 10% for the ship in the center of the Vanguard.</t>
      </text>
    </comment>
    <comment authorId="0" ref="V76">
      <text>
        <t xml:space="preserve">Once per battle, when this ship falls below 30% from damage taken, fire a special barrage (Skill-based damage) and deploys a barrier that blocks 8% of Damage Taken and lasts up to 8 seconds.
If the barrier breaks, heals this ship for 6% HP.
If the barrier expires, increases this ship's Firepower and Reload by 10%.</t>
      </text>
    </comment>
    <comment authorId="0" ref="U77">
      <text>
        <t xml:space="preserve">Every 20 seconds, launch a Gridman Calibur slashing attack and spawn a shield lasting 8 seconds that can block up to 10 shots.  (Skill-based damage).</t>
      </text>
    </comment>
    <comment authorId="0" ref="V77">
      <text>
        <t xml:space="preserve">Enhances this ship's secondaries using the Battle Tracto Max.
Every 15 seconds, 70% chance to fire a special barrage (Skill-based damage).</t>
      </text>
    </comment>
    <comment authorId="0" ref="U78">
      <text>
        <t xml:space="preserve">Every 20 times this ship fires her secondaries, fires her Blazing Inferno Rex Roar (Skill-based damage).</t>
      </text>
    </comment>
    <comment authorId="0" ref="V78">
      <text>
        <t xml:space="preserve">90 Seconds after battle starts, increases this ship's Evasion by 15%.
Every 18 seconds, fires a Penetrator Gun barrage which inflicts Armor Break to enemies hit (Skill-based damage).</t>
      </text>
    </comment>
    <comment authorId="0" ref="W78">
      <text>
        <t xml:space="preserve">Every 10 main gun shots, fires a special barrage (Skill-based damage).</t>
      </text>
    </comment>
    <comment authorId="0" ref="U79">
      <text>
        <t xml:space="preserve">Increase this ship's Accuracy by 10%.
When firing her main guns, 70% chance to fire a barrage with a 10 seconds cooldown between procs.</t>
      </text>
    </comment>
    <comment authorId="0" ref="V79">
      <text>
        <t xml:space="preserve">Every 20 seconds while this ship is over 60% HP, spawn a shield around this ship that lasts 8 seconds and negates 4% Damage.
Doubles the shield's damage negation if there are other ships in the Vanguard, and this ship takes 50% of the Damage the other Vanguard ships take for 8 seconds.
When under 60% HP, the tanking effect won't active, and instead this ship's Torpedo by 15%.</t>
      </text>
    </comment>
  </commentList>
</comments>
</file>

<file path=xl/comments5.xml><?xml version="1.0" encoding="utf-8"?>
<comments xmlns:r="http://schemas.openxmlformats.org/officeDocument/2006/relationships" xmlns="http://schemas.openxmlformats.org/spreadsheetml/2006/main">
  <authors>
    <author/>
  </authors>
  <commentList>
    <comment authorId="0" ref="E1">
      <text>
        <t xml:space="preserve">Hit Points/Health</t>
      </text>
    </comment>
    <comment authorId="0" ref="F1">
      <text>
        <t xml:space="preserve">Firepower</t>
      </text>
    </comment>
    <comment authorId="0" ref="G1">
      <text>
        <t xml:space="preserve">Torpedo</t>
      </text>
    </comment>
    <comment authorId="0" ref="H1">
      <text>
        <t xml:space="preserve">Aviation/Airpower</t>
      </text>
    </comment>
    <comment authorId="0" ref="I1">
      <text>
        <t xml:space="preserve">Anti-Air</t>
      </text>
    </comment>
    <comment authorId="0" ref="J1">
      <text>
        <t xml:space="preserve">Reload</t>
      </text>
    </comment>
    <comment authorId="0" ref="K1">
      <text>
        <t xml:space="preserve">Evasion</t>
      </text>
    </comment>
    <comment authorId="0" ref="M1">
      <text>
        <t xml:space="preserve">Speed (Affects battle move speed and sortie move distance.)</t>
      </text>
    </comment>
    <comment authorId="0" ref="N1">
      <text>
        <t xml:space="preserve">Accuracy</t>
      </text>
    </comment>
    <comment authorId="0" ref="O1">
      <text>
        <t xml:space="preserve">Luck</t>
      </text>
    </comment>
    <comment authorId="0" ref="P1">
      <text>
        <t xml:space="preserve">Anti-Submarine Warfare</t>
      </text>
    </comment>
    <comment authorId="0" ref="Q1">
      <text>
        <t xml:space="preserve">Oil Cost</t>
      </text>
    </comment>
    <comment authorId="0" ref="R1">
      <text>
        <t xml:space="preserve">Oxygen</t>
      </text>
    </comment>
    <comment authorId="0" ref="S1">
      <text>
        <t xml:space="preserve">Ammunition</t>
      </text>
    </comment>
    <comment authorId="0" ref="U2">
      <text>
        <t xml:space="preserve">Every 20 seconds, 60% chance to increase own reload by 40% for 10 seconds.</t>
      </text>
    </comment>
    <comment authorId="0" ref="U3">
      <text>
        <t xml:space="preserve">Every 20 seconds, 60% chance to increase own reload by 40% for 10 seconds.</t>
      </text>
    </comment>
    <comment authorId="0" ref="U4">
      <text>
        <t xml:space="preserve">Increase Firepower of Cruisers by 15%</t>
      </text>
    </comment>
    <comment authorId="0" ref="U5">
      <text>
        <t xml:space="preserve">When HP falls below 20%, heal 25% of max HP and increase Firepower by 30% for 15 seconds.  Can only occur once per battle.</t>
      </text>
    </comment>
    <comment authorId="0" ref="U6">
      <text>
        <t xml:space="preserve">Every 20 seconds, 60% chance to increase damage all enemies take by 40% for 10 seconds.</t>
      </text>
    </comment>
    <comment authorId="0" ref="U7">
      <text>
        <t xml:space="preserve">Every 20 seconds, 60% chance to increase damage all onscreen enemies take by 40% for 10 seconds.
When an SG Radar is equipped:  Increase this ship's Evasion by 10%, and this skill goes off 16 seconds into battle instead of 20 seconds.</t>
      </text>
    </comment>
    <comment authorId="0" ref="W7">
      <text>
        <t xml:space="preserve">Decreases this ship's damage taken from Torpedoes by 15%
Once battle starts, if there are 3 ships in the Vanguard and there is an Eagle Union ship in the back position (Other than this ship), increase that ship's Evasion by 12%.</t>
      </text>
    </comment>
    <comment authorId="0" ref="U8">
      <text>
        <t xml:space="preserve">Increase AA of all Cruisers by 15%.</t>
      </text>
    </comment>
    <comment authorId="0" ref="V8">
      <text>
        <t xml:space="preserve">When firing AA guns, 25% chance to increase own AA by 40% but decrease Firepower by 20% for 3 seconds.</t>
      </text>
    </comment>
    <comment authorId="0" ref="U9">
      <text>
        <t xml:space="preserve">When sunk, heals entire fleet by 25%</t>
      </text>
    </comment>
    <comment authorId="0" ref="V9">
      <text>
        <t xml:space="preserve">When firing AA guns, 25% chance to increase own AA by 40% but decrease Firepower by 20% for 3 seconds.</t>
      </text>
    </comment>
    <comment authorId="0" ref="U10">
      <text>
        <t xml:space="preserve">When attacking with AA guns, 15% chance to increase fleet AA by 50% for 8 seconds.</t>
      </text>
    </comment>
    <comment authorId="0" ref="U11">
      <text>
        <t xml:space="preserve">When attacking with AA guns, 15% chance to increase fleet AA by 50% for 8 seconds.</t>
      </text>
    </comment>
    <comment authorId="0" ref="W11">
      <text>
        <t xml:space="preserve">Increase AA by 25%
Every 20 seconds, 100% chance to release a powerful barrage.</t>
      </text>
    </comment>
    <comment authorId="0" ref="U12">
      <text>
        <t xml:space="preserve">Every 20 seconds, 25% chance to increase fleet damage by 25% for 8 seconds.</t>
      </text>
    </comment>
    <comment authorId="0" ref="V12">
      <text>
        <t xml:space="preserve">When firing AA guns, 25% chance to increase own AA by 40% but decrease Firepower by 20% for 3 seconds.</t>
      </text>
    </comment>
    <comment authorId="0" ref="U13">
      <text>
        <t xml:space="preserve">Reduce damage taken by Flagship by 25%</t>
      </text>
    </comment>
    <comment authorId="0" ref="V13">
      <text>
        <t xml:space="preserve">When firing AA guns, 25% chance to increase own AA by 40% but decrease Firepower by 20% for 3 seconds.</t>
      </text>
    </comment>
    <comment authorId="0" ref="U14">
      <text>
        <t xml:space="preserve">Every 20 seconds, 25% chance to increase entire fleet's Reload by 25% for 8 seconds.</t>
      </text>
    </comment>
    <comment authorId="0" ref="U15">
      <text>
        <t xml:space="preserve">Every 20 seconds, 60% chance to increase own Firepower by 40% for 10 seconds.</t>
      </text>
    </comment>
    <comment authorId="0" ref="U16">
      <text>
        <t xml:space="preserve">Increase Firepower of Cruisers by 15%</t>
      </text>
    </comment>
    <comment authorId="0" ref="U17">
      <text>
        <t xml:space="preserve">30% chance to inflict double damage with main gun.</t>
      </text>
    </comment>
    <comment authorId="0" ref="U18">
      <text>
        <t xml:space="preserve">When firing main gun, 20% chance to increase Evasion by 100% for 15 seconds.</t>
      </text>
    </comment>
    <comment authorId="0" ref="U19">
      <text>
        <t xml:space="preserve">When paired with Indianapolis, increase own Firepower, AA, and Reload by 15%</t>
      </text>
    </comment>
    <comment authorId="0" ref="V19">
      <text>
        <t xml:space="preserve">Every 20 seconds, 25% chance to decrease damage taken by entire fleet by 15% for 8 seconds.</t>
      </text>
    </comment>
    <comment authorId="0" ref="U20">
      <text>
        <t xml:space="preserve">When paired with Indianapolis, increase own Firepower, AA, and Reload by 15%</t>
      </text>
    </comment>
    <comment authorId="0" ref="V20">
      <text>
        <t xml:space="preserve">Every 20 seconds, 25% chance to decrease damage taken by entire fleet by 15% for 8 seconds.</t>
      </text>
    </comment>
    <comment authorId="0" ref="U21">
      <text>
        <t xml:space="preserve">Every 30 seconds, spawns 2 rotating shields for 15 seconds that block up to 8 shots each.  When broken, deals a small amount of damage to nearby enemies.</t>
      </text>
    </comment>
    <comment authorId="0" ref="V21">
      <text>
        <t xml:space="preserve">8% chance to decease damage received by 50%</t>
      </text>
    </comment>
    <comment authorId="0" ref="U22">
      <text>
        <t xml:space="preserve">When sortied with New Orleans-class ships, increase all New Orleans-class cruisers' Accuracy and AA by 20% and Firepower 10%</t>
      </text>
    </comment>
    <comment authorId="0" ref="V22">
      <text>
        <t xml:space="preserve">Reduce received gun damage from DDs and CLs by 20%</t>
      </text>
    </comment>
    <comment authorId="0" ref="U23">
      <text>
        <t xml:space="preserve">Every 20 seconds, 60% chance to increase own Firepower by 40% for 10 seconds.</t>
      </text>
    </comment>
    <comment authorId="0" ref="V23">
      <text>
        <t xml:space="preserve">Reduce received gun damage from DDs and CLs by 20%</t>
      </text>
    </comment>
    <comment authorId="0" ref="U24">
      <text>
        <t xml:space="preserve">Every 20 seconds, 60% chance to increase own Firepower by 40% for 10 seconds.</t>
      </text>
    </comment>
    <comment authorId="0" ref="V24">
      <text>
        <t xml:space="preserve">Reduce received gun damage from DDs and CLs by 20%</t>
      </text>
    </comment>
    <comment authorId="0" ref="U25">
      <text>
        <t xml:space="preserve">Increase Firepower of Cruisers by 15%</t>
      </text>
    </comment>
    <comment authorId="0" ref="V25">
      <text>
        <t xml:space="preserve">25% chance to fire main gun twice</t>
      </text>
    </comment>
    <comment authorId="0" ref="U26">
      <text>
        <t xml:space="preserve">Main gun ammo changed to AP, with better modifiers (Normal CA AP damage to light/medium/heavy armor is 75%/110%/75%, this skill increases it to 85%/120%/85%)  Additionally, each main gun shell has a 3.5% chance to Armor Break heavy armor ships.</t>
      </text>
    </comment>
    <comment authorId="0" ref="V26">
      <text>
        <t xml:space="preserve">Increases Eagle Union CV and CVL Aviation by 15% and increases fleet AA by 7%.
If there are no Eagle Union carriers in Baltimore's fleet, increase own Firepower by 12% and Evasion by 15%.</t>
      </text>
    </comment>
    <comment authorId="0" ref="U27">
      <text>
        <t xml:space="preserve">Increase Firepower of Cruisers by 15%</t>
      </text>
    </comment>
    <comment authorId="0" ref="U28">
      <text>
        <t xml:space="preserve">Increase Firepower of Cruisers by 15%</t>
      </text>
    </comment>
    <comment authorId="0" ref="W28">
      <text>
        <t xml:space="preserve">Once battle begins and every 15 seconds afterward, 30% chance to deploy smokescreen for 5 seconds.  Vanguard within smokescreen gain 40% additional Evasion.</t>
      </text>
    </comment>
    <comment authorId="0" ref="U29">
      <text>
        <t xml:space="preserve">Every 20 seconds, 60% chance to increase own Firepower by 40% for 10 seconds.</t>
      </text>
    </comment>
    <comment authorId="0" ref="U30">
      <text>
        <t xml:space="preserve">Every 20 seconds, 60% chance to increase own Firepower by 40% for 10 seconds.</t>
      </text>
    </comment>
    <comment authorId="0" ref="W30">
      <text>
        <t xml:space="preserve">Increase Torpedo and Evasion by 15%.
Damage against Medium armor targets increased by 25%</t>
      </text>
    </comment>
    <comment authorId="0" ref="U31">
      <text>
        <t xml:space="preserve">Every 20 seconds, 60% chance to increase own Firepower by 40% for 10 seconds.</t>
      </text>
    </comment>
    <comment authorId="0" ref="U32">
      <text>
        <t xml:space="preserve">Every 20 seconds, 60% chance to increase own Firepower by 40% for 10 seconds.</t>
      </text>
    </comment>
    <comment authorId="0" ref="W32">
      <text>
        <t xml:space="preserve">Increase Torpedo and Evasion by 15%.
Damage against Medium armor targets increased by 25%</t>
      </text>
    </comment>
    <comment authorId="0" ref="U33">
      <text>
        <t xml:space="preserve">Increase Firepower, Torpedo, and AA of all Dido-class CLs by 15%.
At the start of battle, increase this ship's AA and Evasion by 15% for 30 seconds.</t>
      </text>
    </comment>
    <comment authorId="0" ref="V33">
      <text>
        <t xml:space="preserve">Increase this ship's Firepower, AA, and Reload by 6% for every Royal Navy ship (Besides Dido) in the fleet at the start of battle.  Can be stacked up to 4 times.
When sortied with Queen Elizabeth, increases Queen Elizabeth's Firepower, Reload, Evasion, and Accuracy by 7% and Main Gun Crit Rate by 20%</t>
      </text>
    </comment>
    <comment authorId="0" ref="U34">
      <text>
        <t xml:space="preserve">Once battle begins and every 15 seconds afterward, 30% chance to deploy smokescreen for 5 seconds.  Vanguard within smokescreen gain 40% additional Evasion.</t>
      </text>
    </comment>
    <comment authorId="0" ref="V34">
      <text>
        <t xml:space="preserve">Every 20 seconds, 25% chance to increase entire fleet's Reload by 25% for 8 seconds.</t>
      </text>
    </comment>
    <comment authorId="0" ref="U35">
      <text>
        <t xml:space="preserve">Allied ships with lower health than Sheffield at the start of the battle will have a 30% chance of receiving 50% less damage.</t>
      </text>
    </comment>
    <comment authorId="0" ref="V35">
      <text>
        <t xml:space="preserve">Increase main gun crit rate by 12% and crit damage 30%</t>
      </text>
    </comment>
    <comment authorId="0" ref="U36">
      <text>
        <t xml:space="preserve">Decreases the effects of the "Out of Ammo" debuff by 15%</t>
      </text>
    </comment>
    <comment authorId="0" ref="V36">
      <text>
        <t xml:space="preserve">Increase this ship's Firepower and Accuracy by 5%
Every enemy sunk by Gloucester increases this ship's Firepower and Accuracy by 2% for the rest of the battle.  Can be stacked up to 5 times.</t>
      </text>
    </comment>
    <comment authorId="0" ref="U37">
      <text>
        <t xml:space="preserve">Increase AP damage by 25%</t>
      </text>
    </comment>
    <comment authorId="0" ref="U38">
      <text>
        <t xml:space="preserve">Increase HE damage by 25%, chance to ignite by 3%</t>
      </text>
    </comment>
    <comment authorId="0" ref="V38">
      <text>
        <t xml:space="preserve">10 seconds after battle begins and every 20 seconds afterward, 20% chance to deploy smokescreen for 10 seconds.  Vanguard within smokescreen gain 35% additional Evasion and take 35% less damage from airstrikes.</t>
      </text>
    </comment>
    <comment authorId="0" ref="U39">
      <text>
        <t xml:space="preserve">Every 20 seconds, 25% chance to increase entire fleet's Reload by 25% for 8 seconds.</t>
      </text>
    </comment>
    <comment authorId="0" ref="U40">
      <text>
        <t xml:space="preserve">Every 20 seconds, 60% chance to increase own Firepower by 40% for 10 seconds.</t>
      </text>
    </comment>
    <comment authorId="0" ref="U41">
      <text>
        <t xml:space="preserve">Increase damage against DDs, transports, torp boats, and suicide boats by 20%</t>
      </text>
    </comment>
    <comment authorId="0" ref="V41">
      <text>
        <t xml:space="preserve">While alive, decease Evasion of all enemy DDs and CLs by 20%</t>
      </text>
    </comment>
    <comment authorId="0" ref="U42">
      <text>
        <t xml:space="preserve">Increase Firepower of Vanguard by 15%</t>
      </text>
    </comment>
    <comment authorId="0" ref="U43">
      <text>
        <t xml:space="preserve">Increase Firepower of Vanguard by 15%</t>
      </text>
    </comment>
    <comment authorId="0" ref="W43">
      <text>
        <t xml:space="preserve">30% chance to inflict double damage with main gun.
Increase Accuracy by 1.5% when destroying an enemy ship.  Can stack 8 times.</t>
      </text>
    </comment>
    <comment authorId="0" ref="U44">
      <text>
        <t xml:space="preserve">25% chance to fire main gun twice</t>
      </text>
    </comment>
    <comment authorId="0" ref="U45">
      <text>
        <t xml:space="preserve">Every 20 seconds, 25% chance to increase fleet damage by 25% for 8 seconds.</t>
      </text>
    </comment>
    <comment authorId="0" ref="U46">
      <text>
        <t xml:space="preserve">25% chance to fire main gun twice</t>
      </text>
    </comment>
    <comment authorId="0" ref="U47">
      <text>
        <t xml:space="preserve">25% chance to fire main gun twice</t>
      </text>
    </comment>
    <comment authorId="0" ref="W47">
      <text>
        <t xml:space="preserve">Every 20 seconds, 60% chance to increase own Firepower by 40% for 10 seconds.</t>
      </text>
    </comment>
    <comment authorId="0" ref="U48">
      <text>
        <t xml:space="preserve">When taking damage, 15% chance to create frontal shield that blocks up to 12 shots, for 15 seconds.</t>
      </text>
    </comment>
    <comment authorId="0" ref="U49">
      <text>
        <t xml:space="preserve">Increase torp crit rate by 40% and crit damage by 50%</t>
      </text>
    </comment>
    <comment authorId="0" ref="U50">
      <text>
        <t xml:space="preserve">When firing, 20% chance to increase Firepower by 40% for 8 seconds.</t>
      </text>
    </comment>
    <comment authorId="0" ref="U51">
      <text>
        <t xml:space="preserve">When firing, 20% chance to increase Firepower by 40% for 8 seconds.</t>
      </text>
    </comment>
    <comment authorId="0" ref="W51">
      <text>
        <t xml:space="preserve">Decrease burning and suicide boat damage received by 40% and HE damage received by 15%
Secondary weapon damage crit chance increased by 70% and ignores armor type.</t>
      </text>
    </comment>
    <comment authorId="0" ref="U52">
      <text>
        <t xml:space="preserve">Every 20 seconds, 60% chance to increase own Firepower by 40% for 10 seconds.</t>
      </text>
    </comment>
    <comment authorId="0" ref="V52">
      <text>
        <t xml:space="preserve">Every 20 seconds, 25% chance to decrease damage taken by entire fleet by 15% for 8 seconds.</t>
      </text>
    </comment>
    <comment authorId="0" ref="U53">
      <text>
        <t xml:space="preserve">Every 20 seconds, 60% chance to increase own Firepower by 40% for 10 seconds.</t>
      </text>
    </comment>
    <comment authorId="0" ref="V53">
      <text>
        <t xml:space="preserve">Every 20 seconds, 25% chance to decrease damage taken by entire fleet by 15% for 8 seconds.</t>
      </text>
    </comment>
    <comment authorId="0" ref="W53">
      <text>
        <t xml:space="preserve">When in the same fleet as Graf Spee;
Increase this ship's Evasion and Torpedo by 15%, and deal 25% more damage to medium-armored enemies.  Hitting enemies with 4 Main Guns attacks slows that ship by 30% for 5 seconds.</t>
      </text>
    </comment>
    <comment authorId="0" ref="U54">
      <text>
        <t xml:space="preserve">Increase XP gained by Cruisers by 15%</t>
      </text>
    </comment>
    <comment authorId="0" ref="V54">
      <text>
        <t xml:space="preserve">Every 20 seconds, 60% chance to increase own Firepower by 40% for 10 seconds.</t>
      </text>
    </comment>
    <comment authorId="0" ref="U55">
      <text>
        <t xml:space="preserve">Increase XP gained by Cruisers by 15%</t>
      </text>
    </comment>
    <comment authorId="0" ref="V55">
      <text>
        <t xml:space="preserve">Every 20 seconds, 60% chance to increase own Firepower by 40% for 10 seconds.</t>
      </text>
    </comment>
    <comment authorId="0" ref="W55">
      <text>
        <t xml:space="preserve">Every 12 seconds, use random prototype equipment;
17% - HE barrage
17% - Torpedo barrage
14% - Normal barrage
14% - 18 second shield, blocks 60 hits
14% - 6 second shield, blocks 99 hits
14% - Heals all fleet ships for 2.4% their max HP
10% - Heal all fleet ships for 9 HP</t>
      </text>
    </comment>
    <comment authorId="0" ref="U56">
      <text>
        <t xml:space="preserve">Every 20 seconds, 60% chance to increase own Firepower by 40% for 10 seconds.</t>
      </text>
    </comment>
    <comment authorId="0" ref="U57">
      <text>
        <t xml:space="preserve">When firing AA guns, 25% chance to increase own AA by 40% but decrease Firepower by 20% for 3 seconds.</t>
      </text>
    </comment>
    <comment authorId="0" ref="U58">
      <text>
        <t xml:space="preserve">When firing AA guns, 25% chance to increase own AA by 40% but decrease Firepower by 20% for 3 seconds.</t>
      </text>
    </comment>
    <comment authorId="0" ref="W58">
      <text>
        <t xml:space="preserve">If Sakura Empire is equipped: Decreases damage taken by 12%
If main gun equipped is from any other faction: 
Decrease this ship's AA efficiency by 50%
Increase main gun efficiency by 20%
Increase torpedo efficiency by 50%
And fires a torpedo barrage when this ship fires its All-Out Assault.</t>
      </text>
    </comment>
    <comment authorId="0" ref="U59">
      <text>
        <t xml:space="preserve">Increase this ship's Firepower, AA, and ASW by 15%
If there's a Sakura DD afloat in the vanguard at the start of battle; every 18 seconds, heals the Vanguard ship with the lowest % HP for 3% of their max HP.
If no Sakura DD present, increase this ship's Torpedo by 15% and with a 70% chance every 18 seconds, fire a special barrage (Skill-based damage)</t>
      </text>
    </comment>
    <comment authorId="0" ref="V59">
      <text>
        <t xml:space="preserve">Increase Sakura DD Torpedo and reload by 10% and AA by 20%</t>
      </text>
    </comment>
    <comment authorId="0" ref="U60">
      <text>
        <t xml:space="preserve">Increase this ship's Firepower, AA, and ASW by 15%.
While afloat, decrease damage allied SS' and SSV's take by 15%.</t>
      </text>
    </comment>
    <comment authorId="0" ref="U61">
      <text>
        <t xml:space="preserve">Increase this ship's Firepower, AA, and ASW by 15%.
While afloat, decrease damage allied SS' and SSV's take by 15%.</t>
      </text>
    </comment>
    <comment authorId="0" ref="W61">
      <text>
        <t xml:space="preserve">Increase this ship's Torpedo damage by 15%.
When firing torpedoes, 30% chance to launch a second wave of torpedoes.</t>
      </text>
    </comment>
    <comment authorId="0" ref="U62">
      <text>
        <t xml:space="preserve">Increase Torpedo effectiveness of all DDs in fleet by 15%</t>
      </text>
    </comment>
    <comment authorId="0" ref="U63">
      <text>
        <t xml:space="preserve">Increase Torpedo effectiveness of all DDs in fleet by 15%</t>
      </text>
    </comment>
    <comment authorId="0" ref="W63">
      <text>
        <t xml:space="preserve">30% chance to launch a second wave of torpedoes.</t>
      </text>
    </comment>
    <comment authorId="0" ref="U64">
      <text>
        <t xml:space="preserve">Every 20 seconds, 60% chance to increase own Firepower by 40% for 10 seconds.</t>
      </text>
    </comment>
    <comment authorId="0" ref="V64">
      <text>
        <t xml:space="preserve">Reduce AP damage taken by 20%</t>
      </text>
    </comment>
    <comment authorId="0" ref="U65">
      <text>
        <t xml:space="preserve">Every 20 seconds, 60% chance to increase own Firepower by 40% for 10 seconds.</t>
      </text>
    </comment>
    <comment authorId="0" ref="V65">
      <text>
        <t xml:space="preserve">Reduce AP damage taken by 20%</t>
      </text>
    </comment>
    <comment authorId="0" ref="W65">
      <text>
        <t xml:space="preserve">When own torpedoes hit 5 times, increase own Firepower by 8%.
Can be stacked 3 times.</t>
      </text>
    </comment>
    <comment authorId="0" ref="U66">
      <text>
        <t xml:space="preserve">While alive, reduce damage taken by CVs and CVLs by 15%</t>
      </text>
    </comment>
    <comment authorId="0" ref="V66">
      <text>
        <t xml:space="preserve">Reduce AP damage taken by 20%</t>
      </text>
    </comment>
    <comment authorId="0" ref="U67">
      <text>
        <t xml:space="preserve">Every 20 seconds, 60% chance to increase own Firepower by 40% for 10 seconds.</t>
      </text>
    </comment>
    <comment authorId="0" ref="U68">
      <text>
        <t xml:space="preserve">Every 20 seconds, 60% chance to increase own Firepower by 40% for 10 seconds.</t>
      </text>
    </comment>
    <comment authorId="0" ref="W68">
      <text>
        <t xml:space="preserve">30% chance to launch a second wave of torpedoes.</t>
      </text>
    </comment>
    <comment authorId="0" ref="U69">
      <text>
        <t xml:space="preserve">Every 20 seconds, 60% chance to increase own Firepower by 40% for 10 seconds.</t>
      </text>
    </comment>
    <comment authorId="0" ref="U70">
      <text>
        <t xml:space="preserve">Every 20 seconds, 60% chance to increase own Firepower by 40% for 10 seconds.</t>
      </text>
    </comment>
    <comment authorId="0" ref="W70">
      <text>
        <t xml:space="preserve">30% chance to launch a second wave of torpedoes.</t>
      </text>
    </comment>
    <comment authorId="0" ref="U71">
      <text>
        <t xml:space="preserve">Every 20 seconds, 60% chance to increase own Firepower by 40% for 10 seconds.</t>
      </text>
    </comment>
    <comment authorId="0" ref="U72">
      <text>
        <t xml:space="preserve">Every 20 seconds, 60% chance to increase own Firepower by 40% for 10 seconds.</t>
      </text>
    </comment>
    <comment authorId="0" ref="U73">
      <text>
        <t xml:space="preserve">At the start of battle and every 20 seconds afterward:
Decrease this ship's speed by 5% for 3 seconds and fire a special barrage (Firepower and skill-based damage)
Enemies hit by the barrage's seaplanes will have their speed reduced by 30% for 5 seconds and two effects activate:
1.  If there's a Sakura CV afloat when the barrage is fired, 50% chance to cause enemies hit by the barrage to take 6% more Aircraft Damage for 8 seconds.
2.  100% chance to inflict one of the following debuffs for 10 seconds;
  a)  Decrease enemy Evasion by 10%
  b)  Decrease enemy Accuracy by 10%
  c)  Decrease enemy Damage Dealt by 10%</t>
      </text>
    </comment>
    <comment authorId="0" ref="V73">
      <text>
        <t xml:space="preserve">When this ship's speed is reduced from her own skills, increase this ship's Evasion RATE by 10% for the slowdown's duration.
Decrease this ship's Damage Taken by 20%.
When this ship takes damage, 70% chance to decrease own Speed by 10% and increase this ship's Reload, Firepower, and Evasion by 20% for 7 seconds.  (10 Second cooldown.)</t>
      </text>
    </comment>
    <comment authorId="0" ref="U74">
      <text>
        <t xml:space="preserve">Every 20 seconds, 40% chance to redirect 50% of damage taken to Vanguard to self for 8 seconds.  </t>
      </text>
    </comment>
    <comment authorId="0" ref="U75">
      <text>
        <t xml:space="preserve">Every 20 seconds, 40% chance to redirect 50% of damage taken to Vanguard to self for 8 seconds.  </t>
      </text>
    </comment>
    <comment authorId="0" ref="U76">
      <text>
        <t xml:space="preserve">Every 20 seconds, 70% chance to launch a special barrage, increase Firepower by 20% and damage against Cruisers by 20% for 10 seconds.</t>
      </text>
    </comment>
    <comment authorId="0" ref="U77">
      <text>
        <t xml:space="preserve">30% chance to inflict double damage with main gun.</t>
      </text>
    </comment>
    <comment authorId="0" ref="V77">
      <text>
        <t xml:space="preserve">30% chance to launch a second wave of torpedoes.</t>
      </text>
    </comment>
    <comment authorId="0" ref="X77">
      <text>
        <t xml:space="preserve">The first All Out Assault per battle increases this ship's Evasion RATE by 10% until the end of battle.  Doesn't stack.</t>
      </text>
    </comment>
    <comment authorId="0" ref="U78">
      <text>
        <t xml:space="preserve">Increase HE damage by 15%, chance to ignite by 12%, and Burn damage by 50%</t>
      </text>
    </comment>
    <comment authorId="0" ref="V78">
      <text>
        <t xml:space="preserve">30% chance to launch a second wave of torpedoes.</t>
      </text>
    </comment>
    <comment authorId="0" ref="X78">
      <text>
        <t xml:space="preserve">The first All Out Assault per battle increases this ship's Evasion RATE by 10% until the end of battle.  Doesn't stack.</t>
      </text>
    </comment>
    <comment authorId="0" ref="U79">
      <text>
        <t xml:space="preserve">Increase Reload by 35%.
30% chance to launch a second wave of torpedoes.</t>
      </text>
    </comment>
    <comment authorId="0" ref="X79">
      <text>
        <t xml:space="preserve">The first All Out Assault per battle increases this ship's Evasion RATE by 10% until the end of battle.  Doesn't stack.</t>
      </text>
    </comment>
    <comment authorId="0" ref="U80">
      <text>
        <t xml:space="preserve">Increase own Firepower by 10%
Every 20 seconds,  60% chance to increase all Cruisers' Firepower and Torpedo stats by 20% for 10 seconds.</t>
      </text>
    </comment>
    <comment authorId="0" ref="V80">
      <text>
        <t xml:space="preserve">30% chance to inflict double damage with main gun.</t>
      </text>
    </comment>
    <comment authorId="0" ref="X80">
      <text>
        <t xml:space="preserve">The first All Out Assault per battle increases this ship's Evasion RATE by 10% until the end of battle.  Doesn't stack.</t>
      </text>
    </comment>
    <comment authorId="0" ref="U81">
      <text>
        <t xml:space="preserve">Increase Reload of all Cruisers by 15%</t>
      </text>
    </comment>
    <comment authorId="0" ref="U82">
      <text>
        <t xml:space="preserve">Every 20 seconds, 60% chance to increase own Firepower by 40% for 10 seconds.</t>
      </text>
    </comment>
    <comment authorId="0" ref="U83">
      <text>
        <t xml:space="preserve">Every 20 seconds, 60% chance to increase own Firepower by 40% for 10 seconds.</t>
      </text>
    </comment>
    <comment authorId="0" ref="W83">
      <text>
        <t xml:space="preserve">Increase own damage done to suicide, torpedo, and transport ships by 25%</t>
      </text>
    </comment>
    <comment authorId="0" ref="U84">
      <text>
        <t xml:space="preserve">Every 20 seconds, 60% chance to increase own Firepower by 40% for 10 seconds.</t>
      </text>
    </comment>
    <comment authorId="0" ref="U85">
      <text>
        <t xml:space="preserve">Every 20 seconds, 60% chance to increase own Firepower by 40% for 10 seconds.</t>
      </text>
    </comment>
    <comment authorId="0" ref="W85">
      <text>
        <t xml:space="preserve">If equipped with the Fl 282;  10 seconds after battle starts and every 30 seconds afterward, launch a spotter helicopter.  Helicopter reveals all enemy submarines, reducing their Evasion by 15% and increasing damage they take by 15% for 10 seconds.</t>
      </text>
    </comment>
    <comment authorId="0" ref="U86">
      <text>
        <t xml:space="preserve">Increase Firepower, Torpedo, and Reload stats of all Cruisers by 10%</t>
      </text>
    </comment>
    <comment authorId="0" ref="U87">
      <text>
        <t xml:space="preserve">Increase Firepower, Torpedo, and Reload stats of all Cruisers by 10%</t>
      </text>
    </comment>
    <comment authorId="0" ref="W87">
      <text>
        <t xml:space="preserve">While alive, increases Speed of Vanguard by 3 and reduces damage taken from ramming by 25%.
Once per battle, when health drops below 30%, evade all attacks for 5 seconds and increase damage dealt by 15% for the rest of the battle.</t>
      </text>
    </comment>
    <comment authorId="0" ref="U88">
      <text>
        <t xml:space="preserve">Every 30 seconds, spawn 2 rotating shields which blocks 10 bullets each for 15 seconds.</t>
      </text>
    </comment>
    <comment authorId="0" ref="V88">
      <text>
        <t xml:space="preserve">8% chance to decease damage received by 50%</t>
      </text>
    </comment>
    <comment authorId="0" ref="U89">
      <text>
        <t xml:space="preserve">Every 20 seconds, 70% chance to spawn 3 rotating shields that block 10 shots each for 10 seconds.</t>
      </text>
    </comment>
    <comment authorId="0" ref="U90">
      <text>
        <t xml:space="preserve">Increase damage against DDs and CLs by 35%</t>
      </text>
    </comment>
    <comment authorId="0" ref="U91">
      <text>
        <t xml:space="preserve">Increase damage against DDs and CLs by 35%</t>
      </text>
    </comment>
    <comment authorId="0" ref="U92">
      <text>
        <t xml:space="preserve">When in the same fleet as Ping/Ning Hai, reduce their and own Damage taken by 20% and increase their and own Evasion by 30%</t>
      </text>
    </comment>
    <comment authorId="0" ref="V92">
      <text>
        <t xml:space="preserve">Increase damage against Sakura ships by 25%</t>
      </text>
    </comment>
    <comment authorId="0" ref="U93">
      <text>
        <t xml:space="preserve">When in same fleet as Ping Hai, increase own Firepower by 35%</t>
      </text>
    </comment>
    <comment authorId="0" ref="V93">
      <text>
        <t xml:space="preserve">Increase damage against Sakura ships by 25%</t>
      </text>
    </comment>
    <comment authorId="0" ref="U94">
      <text>
        <t xml:space="preserve">When in same fleet as Ping Hai, increase own Firepower by 35%</t>
      </text>
    </comment>
    <comment authorId="0" ref="V94">
      <text>
        <t xml:space="preserve">Increase damage against Sakura ships by 25%</t>
      </text>
    </comment>
    <comment authorId="0" ref="W94">
      <text>
        <t xml:space="preserve">Increase Speed by 8 and Firepower by 15%</t>
      </text>
    </comment>
    <comment authorId="0" ref="U95">
      <text>
        <t xml:space="preserve">When in same fleet as Ping Hai, increase own Firepower by 35%</t>
      </text>
    </comment>
    <comment authorId="0" ref="V95">
      <text>
        <t xml:space="preserve">Increase damage against Sakura ships by 25%</t>
      </text>
    </comment>
    <comment authorId="0" ref="U96">
      <text>
        <t xml:space="preserve">When in same fleet as Ping Hai, increase own Firepower by 35%</t>
      </text>
    </comment>
    <comment authorId="0" ref="V96">
      <text>
        <t xml:space="preserve">Increase damage against Sakura ships by 25%</t>
      </text>
    </comment>
    <comment authorId="0" ref="W96">
      <text>
        <t xml:space="preserve">Increase Speed by 8 and Firepower by 15%</t>
      </text>
    </comment>
    <comment authorId="0" ref="U97">
      <text>
        <t xml:space="preserve">Increase damage dealt by Vanguard by 35%</t>
      </text>
    </comment>
    <comment authorId="0" ref="U98">
      <text>
        <t xml:space="preserve">Increase Firepower of Cruisers by 15%</t>
      </text>
    </comment>
    <comment authorId="0" ref="U99">
      <text>
        <t xml:space="preserve">Every 20 seconds, 60% chance to increase own Firepower by 40% for 10 seconds.</t>
      </text>
    </comment>
    <comment authorId="0" ref="U100">
      <text>
        <t xml:space="preserve">Every 20 seconds, 60% chance to increase own Firepower, Reload, and Evasion by 30% for 10 seconds.</t>
      </text>
    </comment>
    <comment authorId="0" ref="V100">
      <text>
        <t xml:space="preserve">When firing AA guns, 25% chance to increase own AA by 40% but decrease Firepower by 20% for 3 seconds.</t>
      </text>
    </comment>
    <comment authorId="0" ref="U101">
      <text>
        <t xml:space="preserve">While alive, increase Reload and Torpedo stats for all CL and DD in fleet by 15%</t>
      </text>
    </comment>
    <comment authorId="0" ref="U102">
      <text>
        <t xml:space="preserve">While alive, increase Reload and Torpedo stats for all CL and DD in fleet by 15%</t>
      </text>
    </comment>
    <comment authorId="0" ref="W102">
      <text>
        <t xml:space="preserve">10 seconds after battle beings and every 20 seconds afterward, 40% chance to deploy a flare for 10 seconds.  Enemy ships within the flare have 25% less Evasion.</t>
      </text>
    </comment>
    <comment authorId="0" ref="U103">
      <text>
        <t xml:space="preserve">While alive, increase Reload and Torpedo stats for all CL and DD in fleet by 20%</t>
      </text>
    </comment>
    <comment authorId="0" ref="U104">
      <text>
        <t xml:space="preserve">While alive, increase Reload and Torpedo stats for all CL and DD in fleet by 20%</t>
      </text>
    </comment>
    <comment authorId="0" ref="W104">
      <text>
        <t xml:space="preserve">Decrease damage taken by 20%
While alive, increase Torpedo crit chance for all CL and DD by 10%.  Higher levels increase Torpedo crit damage up to 30%</t>
      </text>
    </comment>
    <comment authorId="0" ref="U105">
      <text>
        <t xml:space="preserve">While alive, increase Reload and Torpedo stats for all CL and DD in fleet by 15%</t>
      </text>
    </comment>
    <comment authorId="0" ref="U106">
      <text>
        <t xml:space="preserve">Increase Firepower of DDs by 15%</t>
      </text>
    </comment>
    <comment authorId="0" ref="V106">
      <text>
        <t xml:space="preserve">While alive, reduce damage taken by CVs and CVLs by 15%</t>
      </text>
    </comment>
    <comment authorId="0" ref="U107">
      <text>
        <t xml:space="preserve">While afloat, increase this ship's Evasion -Rate- by 15%, and decreases Torpedo damage taken by Vanguard by 20%.</t>
      </text>
    </comment>
    <comment authorId="0" ref="V107">
      <text>
        <t xml:space="preserve">Increase this ship's damage dealt to CVs and CVLs by 20%.
While afloat, increase Vanguard Torpedo stat by 20%, and crit rate by 5%.</t>
      </text>
    </comment>
    <comment authorId="0" ref="U108">
      <text>
        <t xml:space="preserve">Every 20 seconds, Increase own AA by 60% and decrease enemy damage  by 8% for 6 seconds.</t>
      </text>
    </comment>
    <comment authorId="0" ref="U109">
      <text>
        <t xml:space="preserve">When paired with Sheffield, increase own Firepower and Torpedo stats by 15%</t>
      </text>
    </comment>
    <comment authorId="0" ref="U110">
      <text>
        <t xml:space="preserve">Every 20 seconds, 60% chance to decrease damage all cruisers take by 15% and increase Firepower and Accuracy by 25% for 8 seconds.</t>
      </text>
    </comment>
    <comment authorId="0" ref="V110">
      <text>
        <t xml:space="preserve">When firing AA guns, 25% chance to increase own AA by 40% but decrease Firepower by 20% for 3 seconds.</t>
      </text>
    </comment>
    <comment authorId="0" ref="U111">
      <text>
        <t xml:space="preserve">Every 20 seconds, 60% chance to increase own Firepower by 40% for 10 seconds.</t>
      </text>
    </comment>
    <comment authorId="0" ref="V111">
      <text>
        <t xml:space="preserve">When firing AA guns, 25% chance to increase own AA by 40% but decrease Firepower by 20% for 3 seconds.</t>
      </text>
    </comment>
    <comment authorId="0" ref="C112">
      <text>
        <t xml:space="preserve">Formerly "Belchan"</t>
      </text>
    </comment>
    <comment authorId="0" ref="U112">
      <text>
        <t xml:space="preserve">Increase Speed by 8 and Evasion by 25%</t>
      </text>
    </comment>
    <comment authorId="0" ref="V112">
      <text>
        <t xml:space="preserve">Once battle begins, recover HP of entire fleet equal to 3.5% of Belchan's max HP.</t>
      </text>
    </comment>
    <comment authorId="0" ref="U113">
      <text>
        <t xml:space="preserve">25% chance to fire main gun twice</t>
      </text>
    </comment>
    <comment authorId="0" ref="U114">
      <text>
        <t xml:space="preserve">Increase Firepower, Torpedo, and Accuracy stats of all French DDs by 15%</t>
      </text>
    </comment>
    <comment authorId="0" ref="V114">
      <text>
        <t xml:space="preserve">If Vanguard consists of only DDs, increase own speed by 4 and own damage against DD, CAs, and CLs by 20%</t>
      </text>
    </comment>
    <comment authorId="0" ref="U115">
      <text>
        <t xml:space="preserve">Increase Firepower, Torpedo, and Accuracy stats of all French DDs by 15%</t>
      </text>
    </comment>
    <comment authorId="0" ref="V115">
      <text>
        <t xml:space="preserve">If Vanguard (Besides this ship) consists of only DDs, increase own speed by 4 and own damage against DD, CAs, and CLs by 20%</t>
      </text>
    </comment>
    <comment authorId="0" ref="W115">
      <text>
        <t xml:space="preserve">When sortied with other DDs, increase own Firepower, AA, and Accuracy by 15%.
Once per battle, when a DD falls below 50% HP, fire a barrage.</t>
      </text>
    </comment>
    <comment authorId="0" ref="U116">
      <text>
        <t xml:space="preserve">Every 20 seconds, 60% chance to increase own reload by 40% for 10 seconds.</t>
      </text>
    </comment>
    <comment authorId="0" ref="U117">
      <text>
        <t xml:space="preserve">When firing AA guns, 25% chance to increase own AA by 40% but decrease Firepower by 20% for 3 seconds.</t>
      </text>
    </comment>
    <comment authorId="0" ref="V117">
      <text>
        <t xml:space="preserve">Every 20 seconds, 25% chance to increase entire fleet's Reload by 25% for 8 seconds.</t>
      </text>
    </comment>
    <comment authorId="0" ref="U118">
      <text>
        <t xml:space="preserve">When firing AA guns, 25% chance to increase own AA by 40% but decrease Firepower by 20% for 3 seconds.</t>
      </text>
    </comment>
    <comment authorId="0" ref="V118">
      <text>
        <t xml:space="preserve">Every 20 seconds, 25% chance to increase entire fleet's Reload by 25% for 8 seconds.</t>
      </text>
    </comment>
    <comment authorId="0" ref="W118">
      <text>
        <t xml:space="preserve">Increase Firepower of Vanguard by 15%</t>
      </text>
    </comment>
    <comment authorId="0" ref="U119">
      <text>
        <t xml:space="preserve">When destroying an enemy, increase own Firepower by 15% and Reload by 30% for 12 seconds.  Activates once a second and does not stack, but does refresh.</t>
      </text>
    </comment>
    <comment authorId="0" ref="V119">
      <text>
        <t xml:space="preserve">When HP falls under 30%, decrease damage received by 10%.  For the next 16 seconds, decrease Speed by 2,  and recover 4% max health every 3 seconds.  Can only occur once per battle.</t>
      </text>
    </comment>
    <comment authorId="0" ref="U120">
      <text>
        <t xml:space="preserve">Every 20 seconds, 60% chance to increase own reload by 40% for 10 seconds.</t>
      </text>
    </comment>
    <comment authorId="0" ref="U121">
      <text>
        <t xml:space="preserve">Increase Aviation of CVs and CVLs by 10% and increase their Accuracy against DD, CL, and CAs by 10%
Every allied CV and CVL in the fleet increases Sirius' Firepower, Torpedo, and Reload stats by 7%</t>
      </text>
    </comment>
    <comment authorId="0" ref="V121">
      <text>
        <t xml:space="preserve">Increase own Firepower by 20%</t>
      </text>
    </comment>
    <comment authorId="0" ref="U122">
      <text>
        <t xml:space="preserve">When shooting down an enemy plane, increase Firepower and AA by 25% for 8 seconds.  Skill does not stack, but does refresh.</t>
      </text>
    </comment>
    <comment authorId="0" ref="U123">
      <text>
        <t xml:space="preserve">When shooting down an enemy plane, increase Firepower and AA by 25% for 8 seconds.  Skill does not stack, but does refresh.</t>
      </text>
    </comment>
    <comment authorId="0" ref="W123">
      <text>
        <t xml:space="preserve">Increase AA of Vanguard by 15%.</t>
      </text>
    </comment>
    <comment authorId="0" ref="U124">
      <text>
        <t xml:space="preserve">When shooting down an enemy plane, increase Firepower and AA by 25% for 8 seconds.  Skill does not stack, but does refresh.</t>
      </text>
    </comment>
    <comment authorId="0" ref="U125">
      <text>
        <t xml:space="preserve">When shooting down an enemy plane, increase Firepower and AA by 25% for 8 seconds.  Skill does not stack, but does refresh.</t>
      </text>
    </comment>
    <comment authorId="0" ref="W125">
      <text>
        <t xml:space="preserve">Increase Damage of airstrikes by CVs and CVLs by 15% while alive.</t>
      </text>
    </comment>
    <comment authorId="0" ref="U126">
      <text>
        <t xml:space="preserve">When main gun hits 8 times, increase own Firepower by 5% and Reload by 25%.  Can stack 3 times.
At max stacks, enhance barrage pattern.</t>
      </text>
    </comment>
    <comment authorId="0" ref="V126">
      <text>
        <t xml:space="preserve">Reduce AP damage taken by 20%</t>
      </text>
    </comment>
    <comment authorId="0" ref="U127">
      <text>
        <t xml:space="preserve">Every 20 seconds, 60% chance to reduce Firepower, Torpedo, and Aviation of enemy ships by 12% for 10 seconds.</t>
      </text>
    </comment>
    <comment authorId="0" ref="V127">
      <text>
        <t xml:space="preserve">When firing AA guns, 30% chance to increase own AA by 25% for 5 seconds.
Once per battle, if sortied with Clevelad/Li'l Sandy and their health falls under 40%, increase own Firepower and Accuracy by 25% for 15 seconds.</t>
      </text>
    </comment>
    <comment authorId="0" ref="U128">
      <text>
        <t xml:space="preserve">When sortied with an Cleveland-class CL, increase own Anti-Air by 15% and Accuracy by 10%.</t>
      </text>
    </comment>
    <comment authorId="0" ref="V128">
      <text>
        <t xml:space="preserve">If lead vanguard ship, reduce damage taken by 12%.
Reduce shelling damage taken by Lena and Li'l Sandy by 8%.</t>
      </text>
    </comment>
    <comment authorId="0" ref="U129">
      <text>
        <t xml:space="preserve">One second after battle starts, increase own Firepower, Torpedo, and ASW stats by 10%, and reduce damage taken by entire fleet by 6% for 30 seconds.</t>
      </text>
    </comment>
    <comment authorId="0" ref="V129">
      <text>
        <t xml:space="preserve">Every 14 seconds, fire a star-shaped barrage.
</t>
      </text>
    </comment>
    <comment authorId="0" ref="U130">
      <text>
        <t xml:space="preserve">When AA gun fires, 30% chance to increase Vanguard AA by 30% for 10 seconds.
Every 5 aircraft shot down  increases own Firepower by 1% and reduces Aviation damage taken by 1%.  Can stack 10 times.</t>
      </text>
    </comment>
    <comment authorId="0" ref="V130">
      <text>
        <t xml:space="preserve">Increase own Crit rate by 30% and increase own Accuracy against DDs and CLs by 10%.
When enemies are hit by main gun, 10% chance to reduce enemy Evasion by 10% for 6 seconds.</t>
      </text>
    </comment>
    <comment authorId="0" ref="U131">
      <text>
        <t xml:space="preserve">25% chance when firing AA guns to increase AA for all Eagle Union ships by 30% for 5 seconds.
Increase own Firepower by 8% when main gun hits 13 times, can stack 3 times.</t>
      </text>
    </comment>
    <comment authorId="0" ref="U132">
      <text>
        <t xml:space="preserve">Reduces burn time by 3 seconds on self and flagship while alive.
Increase own Firepower and AA by 15% for 8 seconds when shooting down an enemy aircraft.  Doesn't stack.</t>
      </text>
    </comment>
    <comment authorId="0" ref="V132">
      <text>
        <t xml:space="preserve">10% chance when taking damage to increase own Evasion by 40% for 5 seconds, 8 seconds cooldown.
Once per battle, evade all attacks for 5 seconds when HP falls below 30%.</t>
      </text>
    </comment>
    <comment authorId="0" ref="U133">
      <text>
        <t xml:space="preserve">When sortied with at least one Eagle Union ship, increase Main gun crit rate by 40% and Firepower and Torpedo stats by 20%.</t>
      </text>
    </comment>
    <comment authorId="0" ref="V133">
      <text>
        <t xml:space="preserve">Once battle begins and every 15 seconds afterward, 30% chance to deploy smokescreen for 5 seconds.  Vanguard within smokescreen gain 40% additional Evasion.</t>
      </text>
    </comment>
    <comment authorId="0" ref="U134">
      <text>
        <t xml:space="preserve">When taking damage: 18% chance to deploy 2 shields that block up to 10 shells each and last for 12 seconds.</t>
      </text>
    </comment>
    <comment authorId="0" ref="V134">
      <text>
        <t xml:space="preserve">When equipped with an HE or SAP main gun, increase main gun Damage dealt by 12%, but cannot ignite enemies.
When equipped with an AP main gun, 8% chance to cause enemies hit with the main gun to take 15% more damage from this ship for 10 seconds.</t>
      </text>
    </comment>
    <comment authorId="0" ref="U135">
      <text>
        <t xml:space="preserve">Every 20 seconds, 60% chance to increase own Firepower by 40% for 10 seconds.</t>
      </text>
    </comment>
    <comment authorId="0" ref="U136">
      <text>
        <t xml:space="preserve">Changes main gun ammo to purple musical notes for 8 seconds every 15 seconds.</t>
      </text>
    </comment>
    <comment authorId="0" ref="V136">
      <text>
        <t xml:space="preserve">Increase own AA stat by 8% for every aircraft shot down in own AA range for 8 seconds.  Can stack up to 4 times.</t>
      </text>
    </comment>
    <comment authorId="0" ref="U137">
      <text>
        <t xml:space="preserve">After firing main gun 3 times, change ammo type to blue musical note for the next main gun shot.</t>
      </text>
    </comment>
    <comment authorId="0" ref="V137">
      <text>
        <t xml:space="preserve">If placed at rear of Vanguard, all Vanguard ships have a 24% chance to take 32% less damage when hit.</t>
      </text>
    </comment>
    <comment authorId="0" ref="U138">
      <text>
        <t xml:space="preserve">At the start of battle and 70% chance to activate every 20 seconds afterward, change main gun ammo to red musical notes for 12 seconds.</t>
      </text>
    </comment>
    <comment authorId="0" ref="V138">
      <text>
        <t xml:space="preserve">Spawns 2 rotating shields every 30 seconds that each block 10 shells, and lasts for 15 seconds.
If placed at front of Vanguard, skill activates at start of battle.</t>
      </text>
    </comment>
    <comment authorId="0" ref="U139">
      <text>
        <t xml:space="preserve">Every 20 seconds, 60% chance to increase own Firepower by 40% for 10 seconds.</t>
      </text>
    </comment>
    <comment authorId="0" ref="V139">
      <text>
        <t xml:space="preserve">While alive, reduce damage received by main fleet by 8%, reduce own damage received from DDs and CLs guns and torpedoes by 10%.</t>
      </text>
    </comment>
    <comment authorId="0" ref="U140">
      <text>
        <t xml:space="preserve">When equipped with a dual 127mm Mk12 DD secondary, increases this ship's AA by 15% but decreases Firepower by 5%.
When not equipped the dual 127mm, increases this ship's Firepower by 15% but decreases AA by 5%.</t>
      </text>
    </comment>
    <comment authorId="0" ref="V140">
      <text>
        <t xml:space="preserve">Once per battle, when HP of an allied ship falls below 50%, for 12 seconds, increases this ship's AA by 15% and decreases the damage taken by the ship that fell below 50% HP by 15%.</t>
      </text>
    </comment>
    <comment authorId="0" ref="U141">
      <text>
        <t xml:space="preserve">Increase this ship's Damage to BBs and CAs by 20%
When taking damage, 15% chance to evade all enemy attacks for 10 seconds.  20 second cooldown when activated.</t>
      </text>
    </comment>
    <comment authorId="0" ref="U142">
      <text>
        <t xml:space="preserve">Increase this ship's Damage to BBs and CAs by 20%
When taking damage, 15% chance to evade all enemy attacks for 10 seconds.  20 second cooldown when activated.</t>
      </text>
    </comment>
    <comment authorId="0" ref="V142">
      <text>
        <t xml:space="preserve">Increase this ship's Torpedo and Accuracy by 15%
Every 15 seconds, 70% chance to fire a special barrage that slows enemies hit by 20% (Skill-based damage).</t>
      </text>
    </comment>
    <comment authorId="0" ref="U143">
      <text>
        <t xml:space="preserve">Every 15 seconds, fire a special barrage.  The first barrage ignites enemies hit, causing them to take 15% more damage for 8 seconds.</t>
      </text>
    </comment>
    <comment authorId="0" ref="V143">
      <text>
        <t xml:space="preserve">Increase effective and shell range of this ship's main gun to 75 and increases Damage this ship deals to Light-armored enemies by 20%.
If there are other Northern Parliament ships in the fleet, increase shelling damage all enemy CLs take from Northern Parliament ships by 12%</t>
      </text>
    </comment>
    <comment authorId="0" ref="U144">
      <text>
        <t xml:space="preserve">Every 15 seconds, 70% chance to fire a barrage that causes burn damage for 6 seconds.</t>
      </text>
    </comment>
    <comment authorId="0" ref="V144">
      <text>
        <t xml:space="preserve">Increase this ship's Crit Rate by 15%, Damage dealt to DDs by 20%, and Main Gun Shell Velocity by 15%
Decreases enemy DD Evasion RATE by 10%</t>
      </text>
    </comment>
    <comment authorId="0" ref="U145">
      <text>
        <t xml:space="preserve">When firing Main Guns;
30% chance to increase this ship's Main Gun Damage by 30% for 3 seconds (5 second cooldown).
70% chance to fire a barrage that burns targets hit for 6 seconds (10 second cooldown).</t>
      </text>
    </comment>
    <comment authorId="0" ref="V145">
      <text>
        <t xml:space="preserve">If this ship is the Vanguard lead ship, decrease this ship's Damage taken by 20% for 30 seconds after battle starts.
If not in lead position, increase this ship's AA by 25%.</t>
      </text>
    </comment>
    <comment authorId="0" ref="U146">
      <text>
        <t xml:space="preserve">At the start of battle, if in the same fleet as a CV or CVL, increase this ship's Crit Rate by 35%.
For each CV/CVL in the same fleet, increase this ship's damage to enemy DDs and CLs by 10%, to a max of 30%
For the first four battles in a sortie, decrease CV and CVL damage taken by 10% in this ship's fleet.</t>
      </text>
    </comment>
    <comment authorId="0" ref="V146">
      <text>
        <t xml:space="preserve">Increase this ship's AA and Firepower by 15%.
Every second time a Main Fleet ship in this ship's fleet takes damage, increase this ship's AA and Firepower by 6%, up to 2 times, until the end of the battle.</t>
      </text>
    </comment>
    <comment authorId="0" ref="X146">
      <text>
        <t xml:space="preserve">When equipping a DD main gun,  increases this ship's Main Gun Efficiency by 10%.
Barrage is every 10 shots if equipped with a CL gun, 8 shots with a DD gun.</t>
      </text>
    </comment>
    <comment authorId="0" ref="U147">
      <text>
        <t xml:space="preserve">Every 20 seconds, 60% chance to increase own reload by 40% for 10 seconds.</t>
      </text>
    </comment>
    <comment authorId="0" ref="U148">
      <text>
        <t xml:space="preserve">Increase this ship's damage deal to Royal Navy ships by 10%
This ship burns for 30 seconds once battle starts, dealing 8 damage every 3 seconds.
10% chance when hit to refresh or re-ignite burn.
While burning, increase this ship's Firepower, Torpedo, AA, and Evasion by 20%.</t>
      </text>
    </comment>
    <comment authorId="0" ref="V148">
      <text>
        <t xml:space="preserve">10 Seconds after battle start and every 20 seconds afterward, give a shield to all Vanguard ships,  each can block up to 6% of this ship's Max HP, and lasts 8 seconds.
If a ship's shield is broken before it expires, that ship evades all attacks for 2 seconds after the shield breaks.
If a ship's shield expires without breaking, heal that ship for 70 HP.</t>
      </text>
    </comment>
    <comment authorId="0" ref="U149">
      <text>
        <t xml:space="preserve">Deal 15% more damage to ships that are burning
20 Seconds after battle starts, fire a barrage that causes burning.
When firing main guns, 70% chance to fire this barrage (Though this has a 10 second cooldown)</t>
      </text>
    </comment>
    <comment authorId="0" ref="V149">
      <text>
        <t xml:space="preserve">Gain a shield for 20 seconds at the start of battle and every 30 seconds afterward, which blocks up to 5 torpedoes.
While this shield is up, increase this ship's Firepower by 15% and damage dealt to DDs and BBs by 12%
Gain 15% Evasion and 8 Speed 5 seconds after turning auto-mode off.  Entering auto-mode again ends this buff.</t>
      </text>
    </comment>
    <comment authorId="0" ref="U150">
      <text>
        <t xml:space="preserve">Reduce damage taken by CL/DD gun damage by 15%
If Vanguard consists only of CLs/CAs, increase this ship's Speed by 4 and Evasion by 15%</t>
      </text>
    </comment>
    <comment authorId="0" ref="V150">
      <text>
        <t xml:space="preserve">Increase this ship's Firepower and Torpedo by 8%
After 5 firing main gun 5 times, attack closest enemy with a barrage.</t>
      </text>
    </comment>
    <comment authorId="0" ref="U151">
      <text>
        <t xml:space="preserve">After battle starts, fire a barrage every 15 seconds.
If there are no enemies in a 30-unit distance when the barrage procs, fires an additional barrage.</t>
      </text>
    </comment>
    <comment authorId="0" ref="V151">
      <text>
        <t xml:space="preserve">When battle starts, if this ship is not in the lead Vanguard position, increase this ship's Firepower, Torpedo, AA, and Reload by 20%.
If there are other HMS ships in the fleet, increase this ship's Damage by 8%</t>
      </text>
    </comment>
    <comment authorId="0" ref="U152">
      <text>
        <t xml:space="preserve">After taking damage three times, reduce this ship's damage taken by 8% for the rest of the battle.
On the 2nd, 4th, and 6th battle of each sortie, heal 10% of this ship's max HP 60 seconds after battle starts.</t>
      </text>
    </comment>
    <comment authorId="0" ref="V152">
      <text>
        <t xml:space="preserve">Reduce AP damage taken by 20%</t>
      </text>
    </comment>
    <comment authorId="0" ref="U153">
      <text>
        <t xml:space="preserve">At the start of battle, if the Vanguard consists of this ship alone, fire a special barrage every 20 seconds and increases AA of the flagship by 15%.
If there are other Vanguards present, fires a powerful barrage every 20 seconds and increase Vanguard's speed by 3 and AA and Accuracy by 15%
(Skill-based damage for barrages)</t>
      </text>
    </comment>
    <comment authorId="0" ref="V153">
      <text>
        <t xml:space="preserve">For every 2 enemies this ship sinks, increase this ship's AA by 10%.
Increase this ship's Evasion by 15% for every 60 seconds after the start of battle.</t>
      </text>
    </comment>
    <comment authorId="0" ref="U154">
      <text>
        <t xml:space="preserve">At the start of battle, and with a 70% chance every 20 seconds afterward, change this ship's ammo type to a Special AP for 10 seconds.</t>
      </text>
    </comment>
    <comment authorId="0" ref="V154">
      <text>
        <t xml:space="preserve">At the start of battle, if there's a CV, CVL, or Muse ship in the same fleet; Increase this ship's Evasion by 15% and increase Vanguard's AA by 15%</t>
      </text>
    </comment>
    <comment authorId="0" ref="U155">
      <text>
        <t xml:space="preserve">Every 15 seconds, fire a Muse barrage that increases damage taken by 10% for 6 seconds to all enemies hit.
If only one enemy is hit, then their speed is also set to zero for 3 seconds and this ship fires an additional torpedo barrage (Skill-based damage).</t>
      </text>
    </comment>
    <comment authorId="0" ref="V155">
      <text>
        <t xml:space="preserve">At the start of battle and every 30 seconds afterward, deploy 2 shields that last for 15 seconds.
The blue shield blocks up to 8 enemy shells.
The red shield causes damage to enemies upon contact up to 8 times.</t>
      </text>
    </comment>
    <comment authorId="0" ref="U156">
      <text>
        <t xml:space="preserve">If there's at least one other Ironblood ship in the fleet, increase this ship's Reload and Evasion by 15%.
When firing the main guns, 50% chance to increase this ship's main gun damage by 25% for 3 seconds.  (7 second cooldown)</t>
      </text>
    </comment>
    <comment authorId="0" ref="V156">
      <text>
        <t xml:space="preserve">Every 20 seconds after battle starts, fire a special barrage (Skill-based damage), and deploys one of 2 shield types for 10 seconds;
One blocks 2 torpedoes, the other blocks 10 shells.</t>
      </text>
    </comment>
    <comment authorId="0" ref="U157">
      <text>
        <t xml:space="preserve">Every 15 seconds after battle starts, fire a special barrage.  (Skill-based damage)
Increase SS/SSV experience gained by 10% if they participate in battle.</t>
      </text>
    </comment>
    <comment authorId="0" ref="V157">
      <text>
        <t xml:space="preserve">Increase this ship's Torpedo by 10%, and the AA of your Ironblood ships by 15%
When 3 aircraft are shot down in AA range, increase this ship's AA by 5% until the end of battle, stacking up to 15%.</t>
      </text>
    </comment>
    <comment authorId="0" ref="U158">
      <text>
        <t xml:space="preserve">When firing Main guns, 50% chance to fire a special barrage with a 10 second cooldown.  (Skill-based damage)
If there are two or more Sardegna Empire ships in the fleet (Including this ship), increase proc chance by 20%.</t>
      </text>
    </comment>
    <comment authorId="0" ref="V158">
      <text>
        <t xml:space="preserve">Increase this ship's Evasion by 15% for the first 45 seconds of each battle.
As long as this ship is afloat, increase Firepower by 10% and AA by 15% for all Sardegna Empire Vanguard ships, and decrease damage taken by Zara-class CAs by 6%.</t>
      </text>
    </comment>
    <comment authorId="0" ref="U159">
      <text>
        <t xml:space="preserve">Increase this ship's Firepower and AA by 25% when battle starts.
Fire a barrage every 20 seconds (Skill-based damage).</t>
      </text>
    </comment>
    <comment authorId="0" ref="V159">
      <text>
        <t xml:space="preserve">Increase this ship's Evasion by 20% and decrease its Damage taken by 20% when battle begins, lasting until the battle ends.
When sortied with other Dragon Empery ships, heal this ship for 8% HP at the start of battle, increase Speed by 5, and increase Fleet AA by 20% for 50 seconds.</t>
      </text>
    </comment>
    <comment authorId="0" ref="U160">
      <text>
        <t xml:space="preserve">Increase this ship's Firepower and AA by 25% when battle starts.
Fire a barrage every 20 seconds (Skill-based damage).</t>
      </text>
    </comment>
    <comment authorId="0" ref="V160">
      <text>
        <t xml:space="preserve">Increase this ship's Evasion by 20% and decrease its Damage taken by 20% when battle begins, lasting until the battle ends.
When sortied with other Dragon Empery ships, heal this ship for 5% HP at the start of battle, increase Speed by 8, and increase Fleet ASW by 20% for 50 seconds.</t>
      </text>
    </comment>
    <comment authorId="0" ref="U161">
      <text>
        <t xml:space="preserve">Increase this ship's Damage dealt to DDs and CLs by 20%
When this ship sinks an enemy, increase this ship's Evasion and AA by 5% until the end of battle, stacking up to 3 times.</t>
      </text>
    </comment>
    <comment authorId="0" ref="V161">
      <text>
        <t xml:space="preserve">Once per battle, when this ship's HP falls below 30%, decrease this ship's Damage taken by 50% for 5 seconds, then restores 15% of her max HP.</t>
      </text>
    </comment>
    <comment authorId="0" ref="U162">
      <text>
        <t xml:space="preserve">Every 18 seconds, create a shield in front of this ship that blocks up to 8 shells and lasts up to 8 seconds.
If the shield breaks before it expires;
Fire a special barrage (Skill-based damage),
And applies a barrier on this ship that can absorb up to 5% of this ship's max HP and lasts up to 4 seconds.
</t>
      </text>
    </comment>
    <comment authorId="0" ref="V162">
      <text>
        <t xml:space="preserve">When this ship is equipped with a Northern Parliament or Ironblood main gun, increase all damage dealt by this ship by 12%.
When equipped with an AP main gun, increase that weapons' shell speed by 10%.
After sinking 2 enemies in battle, increase this ship's Firepower and AA by 8% until the end of battle.</t>
      </text>
    </comment>
    <comment authorId="0" ref="U163">
      <text>
        <t xml:space="preserve">Increase this ship's Firepower and Torpedo stats by 12% for the first 45 seconds of battle.
When equipped with an HE main gun, increase damage dealt to BBs/BCs by 10%.</t>
      </text>
    </comment>
    <comment authorId="0" ref="V163">
      <text>
        <t xml:space="preserve">Reduce AP Damage this ship takes by 15%
Every 20 seconds, 60% chance to fire a special barrage (Skill-based damage).</t>
      </text>
    </comment>
    <comment authorId="0" ref="U164">
      <text>
        <t xml:space="preserve">At the start of the battle: increases this ship's AA, EVA, and Accuracy by 15% for 60 seconds. When this ship fires her Torpedoes: 70% chance to fire a special barrage (DMG is based on this skill's level).</t>
      </text>
    </comment>
    <comment authorId="0" ref="V164">
      <text>
        <t xml:space="preserve">Reduces the speed of torpedoes fired by this ship by 10 knots, increases Torpedo Crit Rate by 40%, Torpedo Crit DMG by 40%, and decreases the loading time of the first Torpedo salvo by 50%.</t>
      </text>
    </comment>
    <comment authorId="0" ref="W164">
      <text>
        <t xml:space="preserve">Reduces the AP DMG this ship takes by 20% and the Torp DMG taken by the frontmost ship in your Vanguard by 8%.
Once per battle, when this ship falls under 30% HP as a result of DMG taken: creates a shield, and restores 3% of max HP every 3s for the next 10s. The shield blocks up to 5 torpedoes and lasts for up to 10s.</t>
      </text>
    </comment>
    <comment authorId="0" ref="U165">
      <text>
        <t xml:space="preserve">Every 10 seconds after the start of the battle: 75% chance to fire a special barrage (DMG is based on the skill's level).
If this barrage fails to activate, instead increases this ship's AA and Accuracy by 10% for 5 seconds.</t>
      </text>
    </comment>
    <comment authorId="0" ref="V165">
      <text>
        <t xml:space="preserve">Increase this ship's Evasion and AA by 10%.  If this ship is placed;
  Front (Or only):  Increase this ship's Evasion and AA by 5% and decrease Damage taken by 15%
  Middle:  Heals all ships in the Vanguard for 10% of the max HP, 20 seconds after battle starts.
  Rear:  Increase this ship's Firepower by 15% and AA by 10%, and increase the whole Vanguard's Damage dealt by 5%.</t>
      </text>
    </comment>
    <comment authorId="0" ref="U166">
      <text>
        <t xml:space="preserve">Every 15 seconds during battle: fires a special barrage.
Increase this ship's Crit Rate by 10%, and increases her DMG to Heavy Armor enemies by 15%.</t>
      </text>
    </comment>
    <comment authorId="0" ref="V166">
      <text>
        <t xml:space="preserve">While this ship has 45% or more HP remaining: increases this ship's FP and AA by 15%.
When this ship's HP falls below 45% as a result of DMG taken: decreases this ship's Burn DMG taken by 15% while below this threshold.
Once per battle, when this ship's HP falls below 30%: heals this ship for 10% of her max HP.</t>
      </text>
    </comment>
    <comment authorId="0" ref="U167">
      <text>
        <t xml:space="preserve">Every 20 seconds, fire a special barrage. Enemies hit by this barrage have a 30% chance to receive a debuff, which increases their damage taken by 10% for 5 seconds. If this ship has any piece of Eagle Union gear equipped, fire this barrage every 15 seconds instead.</t>
      </text>
    </comment>
    <comment authorId="0" ref="V167">
      <text>
        <t xml:space="preserve">Increase this ship's FP and Accuracy by 15%. Every 15 seconds, 100% chance to spawn a zone on the battlefield. Enemies inside the zone when it spawns have their speed set to 0 for 3 seconds.</t>
      </text>
    </comment>
    <comment authorId="0" ref="W167">
      <text>
        <t xml:space="preserve">Increase all damage this ship does to Light armored targets by 15%
When sortied with Helena or Lena, decrease this ship's Damage taken by 18%
When sortied without either, increase this ship's Evasion by 15% and decrease all damage taken by lead Vanguard ship by 5%</t>
      </text>
    </comment>
    <comment authorId="0" ref="U168">
      <text>
        <t xml:space="preserve">When paired with another Neptunia ship, increase own damage by 10% and decrease damage taken by 6%.
Increase own damage by 2% and decrease damage taken by 2% for each Neptunia ship in fleet besides herself.</t>
      </text>
    </comment>
    <comment authorId="0" ref="U169">
      <text>
        <t xml:space="preserve">When attacked, 8% chance to increase own damage by 25% for 8 seconds.</t>
      </text>
    </comment>
    <comment authorId="0" ref="U170">
      <text>
        <t xml:space="preserve">After every 6 shots from the main gun, the next shot will be a critical hit.</t>
      </text>
    </comment>
    <comment authorId="0" ref="V170">
      <text>
        <t xml:space="preserve">Every 20 seconds, 40% chance to release a powerful barrage, low chance to set enemies on fire for 12 seconds.</t>
      </text>
    </comment>
    <comment authorId="0" ref="W170">
      <text>
        <t xml:space="preserve">115 seconds after battle starts, release powerful barrage.  Can only occur once per battle.</t>
      </text>
    </comment>
    <comment authorId="0" ref="U171">
      <text>
        <t xml:space="preserve">Main gun ignores enemy armor type.  Increases main gun damage by 15%</t>
      </text>
    </comment>
    <comment authorId="0" ref="V171">
      <text>
        <t xml:space="preserve">Every 20 seconds, 40% chance to release a powerful barrage.</t>
      </text>
    </comment>
    <comment authorId="0" ref="U172">
      <text>
        <t xml:space="preserve">Increase Firepower by 6% for every other Kizuna in fleet, stacks to 4.
If she's the only Kizuna in the fleet, decrease damage taken by 15% for first 30 seconds of battle</t>
      </text>
    </comment>
    <comment authorId="0" ref="V172">
      <text>
        <t xml:space="preserve">Reduces fire length by 3 seconds.
Reduces HE damage taken by 15%</t>
      </text>
    </comment>
    <comment authorId="0" ref="U173">
      <text>
        <t xml:space="preserve">Every 20 seconds, 70% chance to increase damage dealt by self by 8%.  Can stack up to 3 times.</t>
      </text>
    </comment>
    <comment authorId="0" ref="V173">
      <text>
        <t xml:space="preserve">Every 15 seconds, launch a slash attack that has a 50% chance to inflict Armor Break on enemies for 6 seconds.</t>
      </text>
    </comment>
    <comment authorId="0" ref="U174">
      <text>
        <t xml:space="preserve">Every 15 seconds after battle starts and every time this ship lands 6 torpedo hits, fire a special barrage (Skill-based damage).</t>
      </text>
    </comment>
    <comment authorId="0" ref="V174">
      <text>
        <t xml:space="preserve">When this ship sinks an enemy, increase this ship's Firepower and Reload by 5%.  Can stack 3 times.
After sinking 3 enemies, increase this ship's Accuracy by 15% for the rest of the battle.</t>
      </text>
    </comment>
    <comment authorId="0" ref="U175">
      <text>
        <t xml:space="preserve">For 60 seconds after battle starts, increase this ship's Firepower and armor modifier against Light armor by 15%.
If there are other Venus Vacation characters in the fleet, increase this ship's AA by 15% and decrease damage taken from guns by 12%.</t>
      </text>
    </comment>
    <comment authorId="0" ref="U176">
      <text>
        <t xml:space="preserve">Every 15 seconds after battle starts, fire a barrage with special and poker projectiles (Skill-based damage)
Enemies hit by the special ammo projectiles take 10% increased Damage for 6 seconds.</t>
      </text>
    </comment>
    <comment authorId="0" ref="V176">
      <text>
        <t xml:space="preserve">Increase this ship's Main gun shell velocity by 10%.
When 5 enemy aircraft are shot down in AA range, increase this ship's Torpedo and AA by 12%.</t>
      </text>
    </comment>
    <comment authorId="0" ref="U177">
      <text>
        <t xml:space="preserve">Each second in combat, this ship has a 10% chance of dealing DMG to herself; if this effect activates: after 3s, heals this ship and the lowest HP% ship in the fleet for 5% HP (this effect can only activate 2 times per battle).</t>
      </text>
    </comment>
    <comment authorId="0" ref="V177">
      <text>
        <t xml:space="preserve">When this ship fires her 2nd wave of Torpedoes in a battle: increases all enemies' DMG taken by 15% for 5 seconds. After this effect activates, when this ship fires her Torpedoes: decreases this ship's DMG taken by 8% until the end of the battle (can be stacked 2 times).</t>
      </text>
    </comment>
    <comment authorId="0" ref="W177">
      <text>
        <t xml:space="preserve">Fires a special barrage every 15 seconds</t>
      </text>
    </comment>
    <comment authorId="0" ref="U178">
      <text>
        <t xml:space="preserve">When this ship fires her Main Guns: 30% chance to increase this ship's Main Gun DMG by 50% for 3 seconds and AA by 15% for 5 seconds. This effect may only activate once every 5 seconds.</t>
      </text>
    </comment>
    <comment authorId="0" ref="V178">
      <text>
        <t xml:space="preserve">As long as this ship is afloat: decreases your Main Fleet's DMG taken by 5%) At the start of the battle: tells a fortune and receives one of the following effects:
  1) Increases this ship's EVA by 12%
  2) Increases this ship's Accuracy by 12%
  3) Increases this ship's FP by 12%
  4) Heals this ship for 15% HP.</t>
      </text>
    </comment>
    <comment authorId="0" ref="W178">
      <text>
        <t xml:space="preserve">Fires a special barrage every 20 seconds after battle starts.
If this ship is the only Vanguard ship when this procs, she becomes lost and stops in place for 2 seconds.  Poor waifu...</t>
      </text>
    </comment>
    <comment authorId="0" ref="U179">
      <text>
        <t xml:space="preserve">Increase AP damage by 40%</t>
      </text>
    </comment>
    <comment authorId="0" ref="V179">
      <text>
        <t xml:space="preserve">When Neptune's HP drops below 20%, heal for 25% max HP and increase Reload by 30% for the rest of the battle.  Only occurs once per battle.</t>
      </text>
    </comment>
    <comment authorId="0" ref="W179">
      <text>
        <t xml:space="preserve">Increase damage to Sirens by 15%</t>
      </text>
    </comment>
    <comment authorId="0" ref="U180">
      <text>
        <t xml:space="preserve">Increase Torpedo Crit rate by 40% and Crit damage by 65%.
After every torpedo launch, increase this ship's Evasion by 12% for 6 seconds.</t>
      </text>
    </comment>
    <comment authorId="0" ref="V180">
      <text>
        <t xml:space="preserve">When firing torpedoes, 30% chance to launch a special barrage</t>
      </text>
    </comment>
    <comment authorId="0" ref="W180">
      <text>
        <t xml:space="preserve">Increase damage to Sirens by 15%</t>
      </text>
    </comment>
    <comment authorId="0" ref="U181">
      <text>
        <t xml:space="preserve">Main gun property changed to HE.  When firing main gun, increase Reload by 3.5%.  Can stack up to 12 times.  Every 2 rounds, main gun switches between HE and AP.</t>
      </text>
    </comment>
    <comment authorId="0" ref="V181">
      <text>
        <t xml:space="preserve">At the start of battle and every 30 seconds afterward, spawn 4 rotating shields that absorb 8 shots each, lasts 15 seconds.</t>
      </text>
    </comment>
    <comment authorId="0" ref="W181">
      <text>
        <t xml:space="preserve">Increase damage to Sirens by 15%</t>
      </text>
    </comment>
    <comment authorId="0" ref="U182">
      <text>
        <t xml:space="preserve">Increase HE damage by 35%.
Decreases chance to ignite by 3%</t>
      </text>
    </comment>
    <comment authorId="0" ref="V182">
      <text>
        <t xml:space="preserve">Increase this ship's speed by 8.  Once battle starts, increase this ship's Evasion by 35% for 50 seconds.</t>
      </text>
    </comment>
    <comment authorId="0" ref="W182">
      <text>
        <t xml:space="preserve">Increase damage to Sirens by 15%</t>
      </text>
    </comment>
    <comment authorId="0" ref="U183">
      <text>
        <t xml:space="preserve">When enemy aircraft shot down in AA range, increase this ship's Firepower and Anti-Air by 15% for 8 seconds.
If airspace control is at Parity or higher, the above buff lasts until the end of battle.
If fleet has shot down at least 15 aircraft during the battle, increase this ship's Firepower and Reload by 20%.</t>
      </text>
    </comment>
    <comment authorId="0" ref="V183">
      <text>
        <t xml:space="preserve">When CL gun equipped in secondary slot, increase AA efficiency by 15%.
When AA gun equipped in secondary slot, increase main gun efficiency by 15%.
Decrease own damage taken by 15% if placed at rear of Vanguard.</t>
      </text>
    </comment>
    <comment authorId="0" ref="W183">
      <text>
        <t xml:space="preserve">Increase damage to Sirens by 15%</t>
      </text>
    </comment>
    <comment authorId="0" ref="B184">
      <text>
        <t xml:space="preserve">CB = Large Cruiser.  For all intents and purposes, it's a Heavy Cruiser (CA), and will be treated as such in this spreadsheet.</t>
      </text>
    </comment>
    <comment authorId="0" ref="U184">
      <text>
        <t xml:space="preserve">When equipped with 280mm or higher caliber main gun, increase main gun damage by 25%, depending on distance shells travel.
Increase own burn damage dealt to enemies by 50%.</t>
      </text>
    </comment>
    <comment authorId="0" ref="V184">
      <text>
        <t xml:space="preserve">70% chance every 20 seconds to increase own Evasion by 20% and Accuracy by 50% for 12 seconds.</t>
      </text>
    </comment>
    <comment authorId="0" ref="W184">
      <text>
        <t xml:space="preserve">Increase damage to Sirens by 15%</t>
      </text>
    </comment>
    <comment authorId="0" ref="X184">
      <text>
        <t xml:space="preserve">When equipped with Prototype 310mm, main gun efficiency increased by 12%, decrease barrage requirement to 4 shots, improves barrage.</t>
      </text>
    </comment>
    <comment authorId="0" ref="U185">
      <text>
        <t xml:space="preserve">Decrease damage taken by this ship by 15%
100% chance to fire a barrage every 12 seconds after battle starts.</t>
      </text>
    </comment>
    <comment authorId="0" ref="V185">
      <text>
        <t xml:space="preserve">Decreases load time of first torpedo wave by 70%.
When this ship takes damage, 15% chance to increase this ship's Firepower, Evasion, and AA by 5% for the rest of the battle.  Can be stacked 3 times.</t>
      </text>
    </comment>
    <comment authorId="0" ref="W185">
      <text>
        <t xml:space="preserve">Increase damage to Sirens by 15%</t>
      </text>
    </comment>
    <comment authorId="0" ref="U186">
      <text>
        <t xml:space="preserve">Increase this ship's secondary gun crit rate by 50%, and improves its ammo.
When using an HE/Normal main gun, this ship's ammo type changes to special HE, which has a chance to proc a special burn.</t>
      </text>
    </comment>
    <comment authorId="0" ref="V186">
      <text>
        <t xml:space="preserve">Every 20 seconds, fires a barrage that ignores shields and heals this ship for 15% of the Damage dealt.
When this ship sinks an enemy, increase this ship's Firepower and Evasion by 5% and Reload by 7% for the rest of battle.  Can stack 3 times.
If this ship starts battle at the front of the Vanguard, all 3 stacks are immediately applied.</t>
      </text>
    </comment>
    <comment authorId="0" ref="W186">
      <text>
        <t xml:space="preserve">Increase damage to Sirens by 15%</t>
      </text>
    </comment>
    <comment authorId="0" ref="U187">
      <text>
        <t xml:space="preserve">Every 15 seconds, creates a shield in front of the ship that lasts 8 seconds and can block up to 6 enemy shells.
If the shield is destroyed before it despawns, this ship fires a barrage and increases this ship's Firepower and Accuracy by 8% for the rest of battle.  Can stack twice.</t>
      </text>
    </comment>
    <comment authorId="0" ref="V187">
      <text>
        <t xml:space="preserve">If this ship is the lead Vanguard ship at the start of battle, increase this ship's Speed by 5 and Evasion by 12% for the battle, and decreases Damage taken by 15% for 30 seconds.
If not at the lead position, increases this ship's Crit Damage by 25%.  Also, every 15 seconds, has a 70% chance to fire a barrage.</t>
      </text>
    </comment>
    <comment authorId="0" ref="W187">
      <text>
        <t xml:space="preserve">Increase damage to Sirens by 15%</t>
      </text>
    </comment>
    <comment authorId="0" ref="U188">
      <text>
        <t xml:space="preserve">Increases this ship's EVA by 15%. When this ship fires its Torpedoes: 75% chance to fire a special barrage (DMG is based on skill's level); If this barrage fails to activate: decreases the loading time of this ship's next wave of Torpedoes by 3 seconds.</t>
      </text>
    </comment>
    <comment authorId="0" ref="V188">
      <text>
        <t xml:space="preserve">When this ship fires its Torpedoes: deploys a smokescreen, and a barrier onto this ship. This smokescreen increases Evasion Rate by 40% for all ships inside it (does not stack with other smokescreen skills). The barrier lasts 5 seconds and can absorb DMG up to 6% of this ship's max HP. If this barrier is destroyed before it expires: increases this ship's Evasion Rate to 100% for 2 seconds.</t>
      </text>
    </comment>
    <comment authorId="0" ref="W188">
      <text>
        <t xml:space="preserve">Increase damage to Sirens by 15%</t>
      </text>
    </comment>
    <comment authorId="0" ref="U189">
      <text>
        <t xml:space="preserve">When this ship's Torpedo hits an enemy: decreases that enemy's Speed by 60% for 5 seconds. As long as this ship is not Out of Ammo, increases this ship's EVA by 15%.</t>
      </text>
    </comment>
    <comment authorId="0" ref="V189">
      <text>
        <t xml:space="preserve">If this ship is equipped with a Normal or AP Main Gun: decreases this ship's DMG taken by 15% and increases Crit Rate by 12%;
If equipped with a HE Main Gun: increases this ship's DMG dealt by 12%, but makes her unable to Burn enemies.
If the equipped Main Gun is high-caliber (280mm or more): increases this ship's Main Gun Efficiency by 12%.</t>
      </text>
    </comment>
    <comment authorId="0" ref="W189">
      <text>
        <t xml:space="preserve">Increase damage to Sirens by 15%</t>
      </text>
    </comment>
    <comment authorId="0" ref="X189">
      <text>
        <t xml:space="preserve">If there are no enemies nearby when this ship fires its Main Guns: inflicts Armor Break effect to all enemies hit by this ship's Main Gun. Once every 8 times this ship fires its Main Guns, fires a special barrage (DMG is based on skill's level). If this ship's Main Gun is high-caliber (280mm or more): decreases the number of shots required to 4.</t>
      </text>
    </comment>
    <comment authorId="0" ref="U190">
      <text>
        <t xml:space="preserve">For 90 seconds after battle starts; Increase this ship's Firepower by 15%.
Every 20 seconds, fire a Grid Beam (Skill-based damage).
If this ship has Battle Tracto Max or Buster Borr equipped, or if this ship is sortied with Namiko or Hass, this skill is enhanced.</t>
      </text>
    </comment>
    <comment authorId="0" ref="V190">
      <text>
        <t xml:space="preserve">For 90 seconds after battle starts, increase this ship's AA by 15% and decrease her damage taken from cannons by 8%.
5 Seconds after battle starts, and every 30 seconds, fires a special barrage (Skill-based damage).
If this ship has Gridman Calibur or Sky Vitter equipped, or if this ship is sortied with Namiko or Hass, this skill is enhanced.</t>
      </text>
    </comment>
    <comment authorId="0" ref="W190">
      <text>
        <t xml:space="preserve">40 Seconds after battle starts, fires a Grid Fixer Beam (Skill-based damage), and heals your fleet 3 times for 1% max HP per.
Once a battle, when this ship falls below 50% HP from damage taken, heals the fleet.</t>
      </text>
    </comment>
    <comment authorId="0" ref="U191">
      <text>
        <t xml:space="preserve">Every 10 times this ship fires her main weapon, launch a special missile barrage using Buster Borr, and deploy a smokescreen that lasts for 5 seconds (Skill-based damage).
The smokescreen will remove any burn effects on friendly ships that enter it.</t>
      </text>
    </comment>
    <comment authorId="0" ref="V191">
      <text>
        <t xml:space="preserve">5 Seconds after battle starts, and with a 70% chance every 20 seconds afterward, fire a laser barrage using Sky Vittor, and increases this ship's AA by 8%.  AA buff can be stacked twice each battle.</t>
      </text>
    </comment>
    <comment authorId="0" ref="U192">
      <text>
        <t xml:space="preserve">Increase this ship's Firepower and AA by 15%.
If this ship's fleet is out of ammo, reduces the effect of the debuff by 15%</t>
      </text>
    </comment>
    <comment authorId="0" ref="V192">
      <text>
        <t xml:space="preserve">Increase this ship's Damage to CAs and CBs by 20%.
Every 20 seconds, 70% chance to increase this ship's Accuracy and Reload by 20% for 10 seconds.</t>
      </text>
    </comment>
    <comment authorId="0" ref="U193">
      <text>
        <t xml:space="preserve">At the start of battle, if this ship is leading a full Vanguard, decrease this ship's Damage Taken by 10% and increases Damage Dealt by 10% for the ship in the center of the Vanguard.</t>
      </text>
    </comment>
    <comment authorId="0" ref="V193">
      <text>
        <t xml:space="preserve">Once per battle, when this ship falls below 30% from damage taken, fire a special barrage (Skill-based damage) and deploys a barrier that blocks 8% of Damage Taken and lasts up to 8 seconds.
If the barrier breaks, heals this ship for 6% HP.
If the barrier expires, increases this ship's Firepower and Reload by 10%.</t>
      </text>
    </comment>
    <comment authorId="0" ref="U194">
      <text>
        <t xml:space="preserve">Every 20 seconds, launch a Gridman Calibur slashing attack and spawn a shield lasting 8 seconds that can block up to 10 shots.  (Skill-based damage).</t>
      </text>
    </comment>
    <comment authorId="0" ref="V194">
      <text>
        <t xml:space="preserve">Enhances this ship's secondaries using the Battle Tracto Max.
Every 15 seconds, 70% chance to fire a special barrage (Skill-based damage).</t>
      </text>
    </comment>
    <comment authorId="0" ref="U195">
      <text>
        <t xml:space="preserve">Every 20 times this ship fires her secondaries, fires her Blazing Inferno Rex Roar (Skill-based damage).</t>
      </text>
    </comment>
    <comment authorId="0" ref="V195">
      <text>
        <t xml:space="preserve">90 Seconds after battle starts, increases this ship's Evasion by 15%.
Every 18 seconds, fires a Penetrator Gun barrage which inflicts Armor Break to enemies hit (Skill-based damage).</t>
      </text>
    </comment>
    <comment authorId="0" ref="W195">
      <text>
        <t xml:space="preserve">Every 10 main gun shots, fires a special barrage (Skill-based damage).</t>
      </text>
    </comment>
    <comment authorId="0" ref="U196">
      <text>
        <t xml:space="preserve">Increase this ship's Accuracy by 10%.
When firing her main guns, 70% chance to fire a barrage with a 10 seconds cooldown between procs.</t>
      </text>
    </comment>
    <comment authorId="0" ref="V196">
      <text>
        <t xml:space="preserve">Every 20 seconds while this ship is over 60% HP, spawn a shield around this ship that lasts 8 seconds and negates 4% Damage.
Doubles the shield's damage negation if there are other ships in the Vanguard, and this ship takes 50% of the Damage the other Vanguard ships take for 8 seconds.
When under 60% HP, the tanking effect won't active, and instead this ship's Torpedo by 15%.</t>
      </text>
    </comment>
    <comment authorId="0" ref="U197">
      <text>
        <t xml:space="preserve">When this ship's fleet defeats an enemy fleet, increase this ship's Damage dealt by 6%.  Can stack 4 times.
When this ship sinks an enemy, increase this ship's Accuracy and Evasion by 5%.  Can stack 4 times.</t>
      </text>
    </comment>
    <comment authorId="0" ref="V197">
      <text>
        <t xml:space="preserve">Increase this ship's AA by 15%
3 Seconds after battle starts and with a 70% chance every 20 seconds afterward, fire a barrage (Skill-based damage).
If the barrage doesn't activate, increase this ship's Firepower and Torpedo by 10% (Can stack twice).
When stacked twice, increase the proc chance to 100%.
After the 2nd and 4th battles the ship fights, improves this barrage.</t>
      </text>
    </comment>
  </commentList>
</comments>
</file>

<file path=xl/comments6.xml><?xml version="1.0" encoding="utf-8"?>
<comments xmlns:r="http://schemas.openxmlformats.org/officeDocument/2006/relationships" xmlns="http://schemas.openxmlformats.org/spreadsheetml/2006/main">
  <authors>
    <author/>
  </authors>
  <commentList>
    <comment authorId="0" ref="E1">
      <text>
        <t xml:space="preserve">Hit Points/Health</t>
      </text>
    </comment>
    <comment authorId="0" ref="F1">
      <text>
        <t xml:space="preserve">Firepower</t>
      </text>
    </comment>
    <comment authorId="0" ref="G1">
      <text>
        <t xml:space="preserve">Torpedo</t>
      </text>
    </comment>
    <comment authorId="0" ref="H1">
      <text>
        <t xml:space="preserve">Aviation/Airpower</t>
      </text>
    </comment>
    <comment authorId="0" ref="I1">
      <text>
        <t xml:space="preserve">Anti-Air</t>
      </text>
    </comment>
    <comment authorId="0" ref="J1">
      <text>
        <t xml:space="preserve">Reload</t>
      </text>
    </comment>
    <comment authorId="0" ref="K1">
      <text>
        <t xml:space="preserve">Evasion</t>
      </text>
    </comment>
    <comment authorId="0" ref="M1">
      <text>
        <t xml:space="preserve">Speed (Affects battle move speed and sortie move distance.)</t>
      </text>
    </comment>
    <comment authorId="0" ref="N1">
      <text>
        <t xml:space="preserve">Accuracy</t>
      </text>
    </comment>
    <comment authorId="0" ref="O1">
      <text>
        <t xml:space="preserve">Luck</t>
      </text>
    </comment>
    <comment authorId="0" ref="P1">
      <text>
        <t xml:space="preserve">Anti-Submarine Warfare</t>
      </text>
    </comment>
    <comment authorId="0" ref="Q1">
      <text>
        <t xml:space="preserve">Oil Cost</t>
      </text>
    </comment>
    <comment authorId="0" ref="R1">
      <text>
        <t xml:space="preserve">Oxygen</t>
      </text>
    </comment>
    <comment authorId="0" ref="S1">
      <text>
        <t xml:space="preserve">Ammunition</t>
      </text>
    </comment>
    <comment authorId="0" ref="U2">
      <text>
        <t xml:space="preserve">8% chance to decease damage received by 50%</t>
      </text>
    </comment>
    <comment authorId="0" ref="U3">
      <text>
        <t xml:space="preserve">8% chance to decease damage received by 50%</t>
      </text>
    </comment>
    <comment authorId="0" ref="V3">
      <text>
        <t xml:space="preserve">30% chance to inflict double damage with main gun.</t>
      </text>
    </comment>
    <comment authorId="0" ref="U4">
      <text>
        <t xml:space="preserve">8% chance to decease damage received by 50%</t>
      </text>
    </comment>
    <comment authorId="0" ref="U5">
      <text>
        <t xml:space="preserve">8% chance to decease damage received by 50%</t>
      </text>
    </comment>
    <comment authorId="0" ref="V5">
      <text>
        <t xml:space="preserve">30% chance to inflict double damage with main gun.</t>
      </text>
    </comment>
    <comment authorId="0" ref="U6">
      <text>
        <t xml:space="preserve">Every 20 seconds, 60% chance to fire an EX barrage.</t>
      </text>
    </comment>
    <comment authorId="0" ref="U7">
      <text>
        <t xml:space="preserve">When firing main gun, 50% chance to heal Vanguard for 10% of their max HP.</t>
      </text>
    </comment>
    <comment authorId="0" ref="U8">
      <text>
        <t xml:space="preserve">Every 30 seconds, reduce enemy damage dealt by 15% for 8 seconds.</t>
      </text>
    </comment>
    <comment authorId="0" ref="U9">
      <text>
        <t xml:space="preserve">30% chance to inflict double damage with main gun.</t>
      </text>
    </comment>
    <comment authorId="0" ref="U10">
      <text>
        <t xml:space="preserve">When firing main gun, 40% chance to fire frontal barrage.</t>
      </text>
    </comment>
    <comment authorId="0" ref="U11">
      <text>
        <t xml:space="preserve">When firing main gun, 40% chance to fire frontal barrage.</t>
      </text>
    </comment>
    <comment authorId="0" ref="V11">
      <text>
        <t xml:space="preserve">When Maryland's HP drops below 70%, increase her damage dealt based on how low her HP is, up to 35%.</t>
      </text>
    </comment>
    <comment authorId="0" ref="U12">
      <text>
        <t xml:space="preserve">When firing main gun, 40% chance to fire frontal barrage.</t>
      </text>
    </comment>
    <comment authorId="0" ref="U13">
      <text>
        <t xml:space="preserve">While alive, reduce incoming Aviation damage to Main fleet by 15%</t>
      </text>
    </comment>
    <comment authorId="0" ref="V13">
      <text>
        <t xml:space="preserve">Increase own Firepower by the sum of 30% of own total AA stat (Base stat and gear).</t>
      </text>
    </comment>
    <comment authorId="0" ref="U14">
      <text>
        <t xml:space="preserve">Every 20 seconds, 70% chance to fire strong barrage at enemies.</t>
      </text>
    </comment>
    <comment authorId="0" ref="V14">
      <text>
        <t xml:space="preserve">When HP of South Dakota drops to 30% or below, increase own damage dealt by 20%, and absorbs 30% damage taken by South Dakota.  South Dakota gains Protection (Avoid all lethal damage for 5 seconds).  Only occurs once per battle.</t>
      </text>
    </comment>
    <comment authorId="0" ref="U15">
      <text>
        <t xml:space="preserve">15 seconds after battle starts and every 25 seconds afterwards, absorb 50% of damage taken by Main Fleet for 10 seconds, then heal for 50% of damage taken.  Also increases Firepower by 10% for the rest of battle, stacks 3 times.</t>
      </text>
    </comment>
    <comment authorId="0" ref="V15">
      <text>
        <t xml:space="preserve">30% chance to inflict double damage with main gun.</t>
      </text>
    </comment>
    <comment authorId="0" ref="U16">
      <text>
        <t xml:space="preserve">When this ship fires its main guns, 100% chance to fire a special barrage with guaranteed critical hits (barrage damage scales with skill level). Additionally, 10s into the start of the battle, fire this same barrage. The barrage pattern is independent of this ship's position in the main fleet. The barrage inflicts Armor Break to enemies it hits. (Armor-Broken enemies take 5% more damage for 8.0s. This Armor Break stacks with other sources of Armor Break.)</t>
      </text>
    </comment>
    <comment authorId="0" ref="V16">
      <text>
        <t xml:space="preserve">Decrease the spread range of this ship's main guns by 5. Whenever ANOTHER fleet in the same sortie engages in battle, if this ship is afloat, fire a special barrage 20s into the start of that battle (damage scales with skill level and the FP stat of that fleet's flagship). At the start of that battle, if that fleet's flagship is an Eagle Union ship, increase the AVI stat of all Eagle Union CVs and CVLs in that fleet by 15%.</t>
      </text>
    </comment>
    <comment authorId="0" ref="W16">
      <text>
        <t xml:space="preserve">Increases this ship's FP by 15% and RLD by 10%. If this ship is sortied with another Eagle Union ship, increase the AA stat by 15% for all Eagle Union ships in your fleet, decrease their damage taken by 5%, and increase the FP stat by 10% for all Eagle Union BBs and BCs in your fleet.</t>
      </text>
    </comment>
    <comment authorId="0" ref="U17">
      <text>
        <t xml:space="preserve">When firing main gun, increase damage of next main gun attack by 15%.</t>
      </text>
    </comment>
    <comment authorId="0" ref="U18">
      <text>
        <t xml:space="preserve">When attacked, increase own Reload by 50% for 8 seconds.  Does not stack.</t>
      </text>
    </comment>
    <comment authorId="0" ref="U19">
      <text>
        <t xml:space="preserve">When firing main gun, 70% chance to launch a frontal barrage, increase Reload for Main fleet by 40% for 8 seconds.</t>
      </text>
    </comment>
    <comment authorId="0" ref="U20">
      <text>
        <t xml:space="preserve">Increase Firepower, Torpedo, Aviation, AA, and Evasion of all HMS ships by 15%.</t>
      </text>
    </comment>
    <comment authorId="0" ref="U21">
      <text>
        <t xml:space="preserve">Every 15 seconds, launch a barrage at furthest target with 100% crit chance.  Level 6 and above fires AP.</t>
      </text>
    </comment>
    <comment authorId="0" ref="U22">
      <text>
        <t xml:space="preserve">10 seconds into a battle and every 15 seconds afterward, launch a barrage at furthest target with 100% crit chance, and first barrage has 130% increase damage.  Level 6 and above fires AP.</t>
      </text>
    </comment>
    <comment authorId="0" ref="X22">
      <text>
        <t xml:space="preserve">Reduce Dispersion of main gun by 5.
Increase Firepower by 15% and accuracy against DDs by 15%.</t>
      </text>
    </comment>
    <comment authorId="0" ref="U23">
      <text>
        <t xml:space="preserve">When firing main gun, 40% chance to fire frontal barrage.</t>
      </text>
    </comment>
    <comment authorId="0" ref="U24">
      <text>
        <t xml:space="preserve">When firing main gun, 40% chance to fire frontal barrage.</t>
      </text>
    </comment>
    <comment authorId="0" ref="U25">
      <text>
        <t xml:space="preserve">Every 24 seconds, 70% chance to launch a barrage.
When equipped with Quad 356mm, reduce load time of first salvo by 75%, increase crit chance by 20%, reduce spread by 2, and enhance barrage.</t>
      </text>
    </comment>
    <comment authorId="0" ref="V25">
      <text>
        <t xml:space="preserve">Increase damage dealt to Sakura, Ironblood, Sardinia, and Siren faction ships by 10%.
When with 3 or more Royal Navy ships, increase own Firepower, Reload, Evasion and AA by 20%.</t>
      </text>
    </comment>
    <comment authorId="0" ref="U26">
      <text>
        <t xml:space="preserve">Every Eagle Union ship in the fleet increases Prince of Wales' Firepower, AA, Reload, and Evasion by 10% each, to a max of 30%.
When in a fleet 3 or more Eagle Union ships, reduce loading time of this ship's first salvo by 85%, increase Firepower and AA of Eagle Union Vanguard ships by 12%, and increase Aviation and AA of Eagle Union Main Fleet ships by 12%</t>
      </text>
    </comment>
    <comment authorId="0" ref="U27">
      <text>
        <t xml:space="preserve">Every 20 seconds, fire a barrage.  Enemies hit by the barrage have their movement speed decreased by 40% for 6 seconds.</t>
      </text>
    </comment>
    <comment authorId="0" ref="V27">
      <text>
        <t xml:space="preserve">Increase damage of first main gun salvo by 50%.
Enemies hit by Duke of York's main guns take an additional 12% damage for 8 seconds.</t>
      </text>
    </comment>
    <comment authorId="0" ref="U28">
      <text>
        <t xml:space="preserve">Every 20 seconds, 60% chance to unleash a special barrage.</t>
      </text>
    </comment>
    <comment authorId="0" ref="U29">
      <text>
        <t xml:space="preserve">Every 20 seconds, 60% chance to unleash a special barrage.</t>
      </text>
    </comment>
    <comment authorId="0" ref="U30">
      <text>
        <t xml:space="preserve">While alive, all Kongou-class ships get 15% more Firepower and Accuracy and 20% more Evasion.
(Kongou, Hiei, Haruna, and Kirishima.)</t>
      </text>
    </comment>
    <comment authorId="0" ref="U31">
      <text>
        <t xml:space="preserve">10 seconds after battle starts and every 20 seconds afterward, 20% chance to absorb 50% damage taken by Main fleet ships, and increases damage dealt to a random enemy by 20% for 8 seconds.</t>
      </text>
    </comment>
    <comment authorId="0" ref="U32">
      <text>
        <t xml:space="preserve">When main gun is fired, increase own Firepower and AA by 6%.  Can stack up to 4 times.</t>
      </text>
    </comment>
    <comment authorId="0" ref="U33">
      <text>
        <t xml:space="preserve">Damage increased against BBs by 15%.
When firing main gun, 60% chance to launch a Sanshikidan barrage.</t>
      </text>
    </comment>
    <comment authorId="0" ref="U34">
      <text>
        <t xml:space="preserve">Increase own Firepower by 20%.</t>
      </text>
    </comment>
    <comment authorId="0" ref="U35">
      <text>
        <t xml:space="preserve">Increase own Firepower by 20%.</t>
      </text>
    </comment>
    <comment authorId="0" ref="X35">
      <text>
        <t xml:space="preserve">First airstrike of each battle performs an additional machine-gun barrage.</t>
      </text>
    </comment>
    <comment authorId="0" ref="U36">
      <text>
        <t xml:space="preserve">Increase own Firepower by 20%.</t>
      </text>
    </comment>
    <comment authorId="0" ref="U37">
      <text>
        <t xml:space="preserve">Increase own Firepower by 20%.</t>
      </text>
    </comment>
    <comment authorId="0" ref="X37">
      <text>
        <t xml:space="preserve">First airstrike of each battle performs an additional machine-gun barrage.</t>
      </text>
    </comment>
    <comment authorId="0" ref="U38">
      <text>
        <t xml:space="preserve">Increase own Firepower by 20%.</t>
      </text>
    </comment>
    <comment authorId="0" ref="U39">
      <text>
        <t xml:space="preserve">Increase own Firepower by 20%.</t>
      </text>
    </comment>
    <comment authorId="0" ref="X39">
      <text>
        <t xml:space="preserve">Reduce reload time by 25% and add additional Suisei bombers to her first 2 airstrikes.
If paired with a CV or CVL, this skill applies to all airstrikes, not just the first 2.</t>
      </text>
    </comment>
    <comment authorId="0" ref="U40">
      <text>
        <t xml:space="preserve">Increase own Firepower by 20%.</t>
      </text>
    </comment>
    <comment authorId="0" ref="V40">
      <text>
        <t xml:space="preserve">Increase Firepower of Main fleet by 15%</t>
      </text>
    </comment>
    <comment authorId="0" ref="U41">
      <text>
        <t xml:space="preserve">Increase own Firepower by 20%.</t>
      </text>
    </comment>
    <comment authorId="0" ref="V41">
      <text>
        <t xml:space="preserve">Increase Firepower of Main fleet by 15%</t>
      </text>
    </comment>
    <comment authorId="0" ref="X41">
      <text>
        <t xml:space="preserve">When enemies enter a certain range, fire a special barrage,  Can only activate 10 seconds into a battle, and can only be activated once every 10 seconds.</t>
      </text>
    </comment>
    <comment authorId="0" ref="U42">
      <text>
        <t xml:space="preserve">When firing main gun, 40% chance to fire frontal barrage.</t>
      </text>
    </comment>
    <comment authorId="0" ref="V42">
      <text>
        <t xml:space="preserve">When sortied as flagship, increase all Sakura ships' Firepower by 10% and their Reload and Accuracy by 20%.
Increase Sakura CV/CVL damage against enemies by 20%.</t>
      </text>
    </comment>
    <comment authorId="0" ref="U43">
      <text>
        <t xml:space="preserve">When firing main gun, 40% chance to fire frontal barrage.</t>
      </text>
    </comment>
    <comment authorId="0" ref="U44">
      <text>
        <t xml:space="preserve">Every 20 seconds, 75% chance to fire a barrage.
(Skill-based damage)</t>
      </text>
    </comment>
    <comment authorId="0" ref="V44">
      <text>
        <t xml:space="preserve">While this ship is afloat; Increase Sakura Main Fleet ships AA by 15%.
If the fleet has 3 or more Sakura ships at the start of battle, increase this ship's Firepower by 10% and Vanguard's Torpedo stat by 10%.</t>
      </text>
    </comment>
    <comment authorId="0" ref="U45">
      <text>
        <t xml:space="preserve">When firing main guns, 75% chance to fire a barrage that is unaffected by this ship's position in the fleet.</t>
      </text>
    </comment>
    <comment authorId="0" ref="V45">
      <text>
        <t xml:space="preserve">1: When this ship is afloat, the fleet this ship is NOT in has a BB as its Flagship, and that fleet is in its 3rd, 4th, or 5th battle, launch a barrage 20 seconds into that fleet's battle.
2:  When this ship takes damage or an enemy comes within a short range, fires a barrage with a 15 second cooldown.</t>
      </text>
    </comment>
    <comment authorId="0" ref="U46">
      <text>
        <t xml:space="preserve">Every 15 seconds, fire a guaranteed critical barrage at a random enemy.  Shells become AP over level 6.</t>
      </text>
    </comment>
    <comment authorId="0" ref="V46">
      <text>
        <t xml:space="preserve">Every 20 seconds, launch 3 torpedoes.</t>
      </text>
    </comment>
    <comment authorId="0" ref="U47">
      <text>
        <t xml:space="preserve">Increase own Firepower by 25%</t>
      </text>
    </comment>
    <comment authorId="0" ref="V47">
      <text>
        <t xml:space="preserve">Every 20 seconds, launch 3 torpedoes.</t>
      </text>
    </comment>
    <comment authorId="0" ref="U48">
      <text>
        <t xml:space="preserve">First main gun salvo is guaranteed crit.
CL guns in secondary slot will increase shooting/detection range but decrease damage done by 35%.</t>
      </text>
    </comment>
    <comment authorId="0" ref="V48">
      <text>
        <t xml:space="preserve">When set as flagship, 70% chance to launch barrage when firing main gun.
Ironblood CVs do 20% more damage.</t>
      </text>
    </comment>
    <comment authorId="0" ref="W48">
      <text>
        <t xml:space="preserve">Increase Reload by 12% and crit chance by 25% for all Ironblood ships.
Increase Tirpitz's damage by 40%.</t>
      </text>
    </comment>
    <comment authorId="0" ref="U49">
      <text>
        <t xml:space="preserve">When Tirpitz is the only BC or BB in Main fleet, increase own damage dealt by 30%.
BBVs do not count, the skill will still work with them in the Main fleet.</t>
      </text>
    </comment>
    <comment authorId="0" ref="V49">
      <text>
        <t xml:space="preserve">Every 15 seconds, launch 4 magnetic torpedoes.</t>
      </text>
    </comment>
    <comment authorId="0" ref="U50">
      <text>
        <t xml:space="preserve">When receiving damage, 12% chance to reduce damage by 50%.
When sortied as flagship. increase Sakura ships Firepower and Reload by 20%.</t>
      </text>
    </comment>
    <comment authorId="0" ref="V50">
      <text>
        <t xml:space="preserve">When firing main gun, 60% chance to increase allied BC and BB damage dealt by 20% for 8 seconds.</t>
      </text>
    </comment>
    <comment authorId="0" ref="U51">
      <text>
        <t xml:space="preserve">15 seconds after battle starts and every 20 seconds afterward, 60% chance to fire a special barrage.</t>
      </text>
    </comment>
    <comment authorId="0" ref="U52">
      <text>
        <t xml:space="preserve">When firing main gun, 50% chance to fire a frontal barrage.</t>
      </text>
    </comment>
    <comment authorId="0" ref="U53">
      <text>
        <t xml:space="preserve">First main gun salvo damage increased by 60%.
Manually aimed salvo damage increased by 60%.</t>
      </text>
    </comment>
    <comment authorId="0" ref="V53">
      <text>
        <t xml:space="preserve">When equipped with Quadruple 380mm (Mle 1935), main gun crit rate increased by 30% and crit damage increased by 50%.</t>
      </text>
    </comment>
    <comment authorId="0" ref="U54">
      <text>
        <t xml:space="preserve">Eagle Union BBs and CAs in fleet increases own Firepower, AA, and Evasion by 8% each.
Only 3 ships count toward this buff for a max of 24%.</t>
      </text>
    </comment>
    <comment authorId="0" ref="V54">
      <text>
        <t xml:space="preserve">Increase salvo damage depending on distance traveled, up to 15%.
If equipped with an Eagle Union Secondary weapon, Main gun property changed to Superheavy AP, distance damage bonus increases to a max of 30%.</t>
      </text>
    </comment>
    <comment authorId="0" ref="U55">
      <text>
        <t xml:space="preserve">While alive, decrease all enemy Firepower, Torpedo, and Aviation stats by 9%.</t>
      </text>
    </comment>
    <comment authorId="0" ref="V55">
      <text>
        <t xml:space="preserve">While alive, reduce burn damage taken by main fleet by 15% and increase their Evasion by 10%</t>
      </text>
    </comment>
    <comment authorId="0" ref="W55">
      <text>
        <t xml:space="preserve">When firing main gun, 70% chance to fire a frontal barrage.
If fleet contains at least 4 Sakura ships, decrease load time of first salvo by 45%.</t>
      </text>
    </comment>
    <comment authorId="0" ref="U56">
      <text>
        <t xml:space="preserve">When firing main gun, 50% chance to fire a frontal barrage.</t>
      </text>
    </comment>
    <comment authorId="0" ref="V56">
      <text>
        <t xml:space="preserve">10 seconds after battle starts and every 20 seconds afterward, launch a torpedo barrage.</t>
      </text>
    </comment>
    <comment authorId="0" ref="U57">
      <text>
        <t xml:space="preserve">Launch torpedo barrage every 20 seconds.</t>
      </text>
    </comment>
    <comment authorId="0" ref="V57">
      <text>
        <t xml:space="preserve">Every 20 seconds, reduces Main Fleet burn damage by 60% for 8 seconds.</t>
      </text>
    </comment>
    <comment authorId="0" ref="U58">
      <text>
        <t xml:space="preserve">Increase own Evasion by 12, torpedo damage taken reduced by 20%
Every 20 seconds, 75% to fire a barrage.</t>
      </text>
    </comment>
    <comment authorId="0" ref="V58">
      <text>
        <t xml:space="preserve">Increase own Firepower by 2.5% per enemy node Alabama's fleet defeats.  After 5 defeated nodes, reduce damage taken by Main Fleet by 8%.
In battle, destroying an enemy ship increases own Firepower by 2.5%.  Can stack 7 times.</t>
      </text>
    </comment>
    <comment authorId="0" ref="U59">
      <text>
        <t xml:space="preserve">When firing main guns, 65% chance to fire barrage.
When equipped with Triple 381mm (M1934), improves barrage and increases proc chance by 10%.</t>
      </text>
    </comment>
    <comment authorId="0" ref="V59">
      <text>
        <t xml:space="preserve">At the start of battle, deploys 2 shields that can block up to 2 enemy torpedoes around this ship and lead Vanguard ship.
Increases this ships Firepower by 20% for the first 3 battles of each sortie.</t>
      </text>
    </comment>
    <comment authorId="0" ref="U60">
      <text>
        <t xml:space="preserve">Fires a torpedo barrage 10 seconds after battle starts.
After firing firing first volley and for the rest of the battle, increase Firepower by 15%, Damage dealt to CLs by 20%, and set own Torpedo stat to 0.</t>
      </text>
    </comment>
    <comment authorId="0" ref="U61">
      <text>
        <t xml:space="preserve">When firing main guns, 50% chance to launch a barrage.</t>
      </text>
    </comment>
    <comment authorId="0" ref="V61">
      <text>
        <t xml:space="preserve">Fires a torpedo barrage 10 seconds after battle starts.
After firing firing first volley and for the rest of the battle, increase Firepower by 15%, Damage dealt to CLs by 20%, and set own Torpedo stat to 0.</t>
      </text>
    </comment>
    <comment authorId="0" ref="U62">
      <text>
        <t xml:space="preserve">Main gun ammo changed to Musical Note ammo, switches between red and blue notes after firing.
Reduce reload time for first main gun volley by 25%.</t>
      </text>
    </comment>
    <comment authorId="0" ref="V62">
      <text>
        <t xml:space="preserve">When firing main gun, increase Firepower, Torpedo, and Aviation of all Muse ships by 6% for 10 seconds.
If the amount of Muse ships in the fleet is;
Odd: Increase own damage dealt by 12%.
Even: Reduce damage taken by self 15%</t>
      </text>
    </comment>
    <comment authorId="0" ref="U63">
      <text>
        <t xml:space="preserve">Every 20 seconds, 70% chance to fire a barrage.
Improves pattern when in exercises.</t>
      </text>
    </comment>
    <comment authorId="0" ref="V63">
      <text>
        <t xml:space="preserve">While afloat, when a Main Fleet ships takes damage, 70% chance to decrease damage taken by Main Fleet by 12% for 15 seconds.  20 second cooldown.
Once per battle, if this ship's HP drops below 20% HP, restore 10% of this ship's max HP.</t>
      </text>
    </comment>
    <comment authorId="0" ref="U64">
      <text>
        <t xml:space="preserve">When firing, increase the Firepower, Torpedo, AA, and Reload of all Northern Parliament ships by 18% for 10 seconds.
When equipping the Northern Triple 305mm (1907) main gun, increase this ship's Main Gun Efficiency by 80% and decrease its reload time by 35% for the first 4 reloads.</t>
      </text>
    </comment>
    <comment authorId="0" ref="V64">
      <text>
        <t xml:space="preserve">When this ship's HP falls below 30%, decrease this ship's damage taken by 15%, and decreases damage taken by friendly DDs by 10% until the end of battle.
Can only proc once per battle.</t>
      </text>
    </comment>
    <comment authorId="0" ref="U65">
      <text>
        <t xml:space="preserve">75% chance to fire a special barrage when firing main guns.
If the barrage fails to trigger, increase this ship's AA by 50% until the next time this ship fires its main guns.</t>
      </text>
    </comment>
    <comment authorId="0" ref="V65">
      <text>
        <t xml:space="preserve">When this ship is over 60% HP, increase this ship's Firepower by 20% and decrease burning time on this ship by 3 seconds.
When this ship's HP falls below 50%, heal self for 12% max HP over 8 seconds.
From the second battle onwards of each sortie, decrease damage this fleet's Vanguard takes by 8%.</t>
      </text>
    </comment>
    <comment authorId="0" ref="U66">
      <text>
        <t xml:space="preserve">When firing, 75% chance to fire a barrage.</t>
      </text>
    </comment>
    <comment authorId="0" ref="V66">
      <text>
        <t xml:space="preserve">For each Northern Parliament and/or Dragon Empery ship in this ship's fleet, increase Firepower and Accuracy by 5%, can stack up to 4 times.
This skill only applies to the first 2 battles this fleet takes part in.</t>
      </text>
    </comment>
    <comment authorId="0" ref="U67">
      <text>
        <t xml:space="preserve">Decrease loading time of first 3 salvos by 40%.  Damage for first 3 will be set to 40%, 80%, and 120%.
The fourth salvo and onward deals 120% Damage.</t>
      </text>
    </comment>
    <comment authorId="0" ref="V67">
      <text>
        <t xml:space="preserve">Increase this ship's Firepower, Reload, and Accuracy by 5% for every Royal Navy ship in the fleet.   Can stack up to 4 times.</t>
      </text>
    </comment>
    <comment authorId="0" ref="U68">
      <text>
        <t xml:space="preserve">When sortied as flagship:
Increase all Iris and Vichya ships' Firepower, Torpedo, Accuracy and Reload by 15%
Iris ships deal 6% more damage
Vichya ships receive 6% less damage</t>
      </text>
    </comment>
    <comment authorId="0" ref="V68">
      <text>
        <t xml:space="preserve">75% chance to launch a barrage when firing main guns.  Barrage has a 70% chance to inflict a special burn DoT, which reduces affected enemies' Firepower, Torpedo, and Aviation by 5% and lasts for 30 seconds.</t>
      </text>
    </comment>
    <comment authorId="0" ref="W68">
      <text>
        <t xml:space="preserve">First manually aimed main gun volley is a guaranteed crit.  Main gun damage increased by 12% if it fires HE shells.</t>
      </text>
    </comment>
    <comment authorId="0" ref="U69">
      <text>
        <t xml:space="preserve">Every 15 seconds, fires a barrage at a random enemy.
After the barrage is fired, fleet BB/BC/BBV Reload and Accuracy increased by 20% for 8 seconds</t>
      </text>
    </comment>
    <comment authorId="0" ref="V69">
      <text>
        <t xml:space="preserve">Increase this ship's Firepower and Reload by 12%.
When with other KGV-class BBs (KGV, PoW, DoY) and/or Monarch, or there are more than 3 HMS ships in the fleet, increase this ship's Firepower and AA by 12%</t>
      </text>
    </comment>
    <comment authorId="0" ref="U70">
      <text>
        <t xml:space="preserve">10 seconds after firing main guns, fire a special barrage that inflicts armor-breaking on hit enemies for 20 seconds.</t>
      </text>
    </comment>
    <comment authorId="0" ref="V70">
      <text>
        <t xml:space="preserve">50% chance to fire a barrage when firing main guns.</t>
      </text>
    </comment>
    <comment authorId="0" ref="U71">
      <text>
        <t xml:space="preserve">Every 15s: 75% chance to fire a special barrage (DMG is based on the skill's level). If this barrage fails to activate, instead targets 1 random enemy and increases its DMG taken by 10% for 8s.</t>
      </text>
    </comment>
    <comment authorId="0" ref="V71">
      <text>
        <t xml:space="preserve">At the start of the battle: increases FP, TRP, and EVA by 15% for all Sardegna ships in your Vanguard, and increases FP, AVI, and Accuracy by 12% for all Sardegna ships in your Main Fleet. For each additional Sardegna ship in the same fleet (up to 2 at most): decreases the loading time of this ship's first salvo by 40%.</t>
      </text>
    </comment>
    <comment authorId="0" ref="W71">
      <text>
        <t xml:space="preserve">At the start of the battle, if your fleet contains at least one other Sardegna ship, or if this ship has an AP Main Gun equipped: increases this ship's FP by 12%. Additionally, for the first 3 battles of a sortie: the fleet this ship is in takes 20% less DMG from torpedoes.</t>
      </text>
    </comment>
    <comment authorId="0" ref="U72">
      <text>
        <t xml:space="preserve">When this ship fires its Main Guns: if all of your afloat Vanguard ships have no less than 50% of their max HP remaining, fires a special barrage (DMG is based on the skill's level). Otherwise, grants a shield that lasts for 6s and blocks up to 6 shells to the ship in the frontmost position of your Vanguard.</t>
      </text>
    </comment>
    <comment authorId="0" ref="V72">
      <text>
        <t xml:space="preserve">If this ship is equipped with a HE Main Gun: increases her Burn DMG by 10%. If this ship is equipped with an AP Main Gun: fires a Torpedo barrage every 20 seconds after battle starts (DMG is based on the skill's level).</t>
      </text>
    </comment>
    <comment authorId="0" ref="U73">
      <text>
        <t xml:space="preserve">Fires a special barrage when firing main guns (Skill-based damage).  Enemies hit by the barrage will be inflicted with Cinderflame Curse for 10 seconds which does 41 damage per second.</t>
      </text>
    </comment>
    <comment authorId="0" ref="V73">
      <text>
        <t xml:space="preserve">For the first 3 battles this ship takes part in, fire a special barrage (Skill-based damage) every 20 seconds.
Battles 4 and 5 of a sortie that this ship doesn't take part in, fires a barrage every 20 seconds (as long as this ship is afloat)</t>
      </text>
    </comment>
    <comment authorId="0" ref="W73">
      <text>
        <t xml:space="preserve">Increase this ship's AA by 15% and Reload by 10%.
When Cinderflame Curse expires, all enemies affected by it take another tick of its damage (FP-based damage)
When an enemy afflicted by Cinderflame Curse is sunk by allies, increase this ship's Firepower by 4% until battle ends, stacking up to 3 times.  At 3 stacks, this ship deals 5% more damage to all enemies until battle ends.</t>
      </text>
    </comment>
    <comment authorId="0" ref="X73">
      <text>
        <t xml:space="preserve">[OPERATION SIREN]
When fighting humanoid Siren fleets or Boss fleets, reduce Vanguard damage taken by 6%</t>
      </text>
    </comment>
    <comment authorId="0" ref="U74">
      <text>
        <t xml:space="preserve">Increase main gun crit rate by 30% but increases spread by 1.
70% chance to fire special barrage every 16 seconds.</t>
      </text>
    </comment>
    <comment authorId="0" ref="V74">
      <text>
        <t xml:space="preserve">Increase own Accuracy and Evasion by 25%.</t>
      </text>
    </comment>
    <comment authorId="0" ref="U75">
      <text>
        <t xml:space="preserve">Increase this ship's Firepower by 15% and its armor modifier against Light armor enemies by 12%.
5 Seconds after firing the main guns, fires a randomly chosen barrage with special ammo.</t>
      </text>
    </comment>
    <comment authorId="0" ref="V75">
      <text>
        <t xml:space="preserve">When this ship fires its main guns, heal 2 random ships in the fleet for 5% of their max HP, and has a 75% chance to fire a special barrage (Skill-based damage)
Barrage has a 70% chance to cause a special burn effect for 30 seconds which reduces Firepower, Torpedo, and Aviation stats of burning enemies by 5%.</t>
      </text>
    </comment>
    <comment authorId="0" ref="U76">
      <text>
        <t xml:space="preserve">Every 18 Seconds after battle starts, 70% chance to fire a special barrage (Skill-based damage).
Enemies hit take 12% more Damage from Misaki and Nagisa for 8 seconds.</t>
      </text>
    </comment>
    <comment authorId="0" ref="V76">
      <text>
        <t xml:space="preserve">Decrease damage taken by this ship by 15%.
When firing her main guns, decrease speed of a random enemy by 30% for 8 seconds.</t>
      </text>
    </comment>
    <comment authorId="0" ref="U77">
      <text>
        <t xml:space="preserve">Increases this ship's DMG dealt to Heavy Armor enemies by 15%. When this ship fires her Main Guns: 100% chance to fire a special barrage (DMG is based on the skill's level).</t>
      </text>
    </comment>
    <comment authorId="0" ref="V77">
      <text>
        <t xml:space="preserve">At the start of the battle: randomly chooses 1 other ship in your fleet and decreases her DMG taken by 10% for 30 seconds. Once this effect wears off: heals that ship for 10% HP.</t>
      </text>
    </comment>
    <comment authorId="0" ref="U78">
      <text>
        <t xml:space="preserve">When firing main gun, 70% chance to launch special barrage.  Enemies hit have 40% reduced movement speed for 6 seconds.</t>
      </text>
    </comment>
    <comment authorId="0" ref="V78">
      <text>
        <t xml:space="preserve">Increase Reload by 1 every 1% loss of HP.
When HP is under 20%, heal for 3% max HP every 2 seconds for 10 seconds.  Only occurs once per battle.</t>
      </text>
    </comment>
    <comment authorId="0" ref="W78">
      <text>
        <t xml:space="preserve">Increase damage to Sirens by 15%</t>
      </text>
    </comment>
    <comment authorId="0" ref="U79">
      <text>
        <t xml:space="preserve">When firing main gun, 70% chance to launch a special barrage.
(Barrage improved after finishing Fate Simulation)</t>
      </text>
    </comment>
    <comment authorId="0" ref="V79">
      <text>
        <t xml:space="preserve">Increase probability of being set on fire by 6% max, increases duration of fires by 3 seconds.
Reduces AP damage taken by 30%.</t>
      </text>
    </comment>
    <comment authorId="0" ref="W79">
      <text>
        <t xml:space="preserve">Increase damage to Sirens by 15%</t>
      </text>
    </comment>
    <comment authorId="0" ref="U80">
      <text>
        <t xml:space="preserve">Decrease main gun spread by 3.
Increase damage to CA, CB, BC, BB, and BBVs by 20% and to CV and CVLs by 10%</t>
      </text>
    </comment>
    <comment authorId="0" ref="V80">
      <text>
        <t xml:space="preserve">80% chance to fire a barrage when firing main gun.</t>
      </text>
    </comment>
    <comment authorId="0" ref="W80">
      <text>
        <t xml:space="preserve">Increase damage to Sirens by 15%</t>
      </text>
    </comment>
    <comment authorId="0" ref="U81">
      <text>
        <t xml:space="preserve">Upon taking damage or enemy enters range, launch a barrage with secondary weapons that ignore armor type.
15 Second cooldown.</t>
      </text>
    </comment>
    <comment authorId="0" ref="V81">
      <text>
        <t xml:space="preserve">Odd volleys increase Reload by 50% and Damage by 20%.
Even volleys increase Crit rate by 20% and crit damage by 50%</t>
      </text>
    </comment>
    <comment authorId="0" ref="W81">
      <text>
        <t xml:space="preserve">When health is between:
70-100%, increase Firepower by 20%
30-70%, increase Firepower by 10%, reduce damage taken by 10%
0-30%, reduce damage taken by 20%</t>
      </text>
    </comment>
    <comment authorId="0" ref="X81">
      <text>
        <t xml:space="preserve">Increase damage to Sirens by 15%</t>
      </text>
    </comment>
    <comment authorId="0" ref="U82">
      <text>
        <t xml:space="preserve">When battle starts, if this ship's HP is greater than 50%, increase this ship's AA by 12% and improves Precision Salvo barrage.
When this ship's HP falls below 50%, increase this ship's Evasion by 30% for 8 seconds and restore 8% of this ship's max HP.  This can only proc twice per battle.</t>
      </text>
    </comment>
    <comment authorId="0" ref="V82">
      <text>
        <t xml:space="preserve">Each main gun salvo can be fired independently.
Increase manual aim bonus to 40%.
Launch special barrage every 20 seconds.</t>
      </text>
    </comment>
    <comment authorId="0" ref="W82">
      <text>
        <t xml:space="preserve">Increase damage to Sirens by 15%</t>
      </text>
    </comment>
    <comment authorId="0" ref="U83">
      <text>
        <t xml:space="preserve">Changes this ship's position and decrease its Damage taken by 20%.
Every 15 seconds, triggers a sonar scan that, for 10 seconds, reveals all enemy submarines, reduces enemy sub Accuracy by 25%, and decreases Vanguard Damage taken from Torpedoes by 15%.</t>
      </text>
    </comment>
    <comment authorId="0" ref="V83">
      <text>
        <t xml:space="preserve">Every 18 seconds, has a 75% chance to launch a barrage, with thunderbolts that ignore enemy shields.
Changes spread angle of equipped Torpedoes.</t>
      </text>
    </comment>
    <comment authorId="0" ref="W83">
      <text>
        <t xml:space="preserve">Increase damage to Sirens by 15%</t>
      </text>
    </comment>
    <comment authorId="0" ref="U84">
      <text>
        <t xml:space="preserve">Decreases loading time of This ship's Main Gun by 40% and fires a barrage with every salvo.
Fires a barrage every 20 seconds.</t>
      </text>
    </comment>
    <comment authorId="0" ref="V84">
      <text>
        <t xml:space="preserve">When using an HE main gun:
Increase Firepower by 5% and AA by 15% and increases HE Damage modifier against Heavy Armor by 15%
When using an AP main gun:
Increase Firepower by 5%, Reload by 15%, and Crit Rate by 20%.
While above 75% HP:
If not set as the flagship; absorbs 50% of damage taken by flagship.
When under 75% HP:
Increase Evasion and Accuracy by 15%</t>
      </text>
    </comment>
    <comment authorId="0" ref="W84">
      <text>
        <t xml:space="preserve">Increase damage to Sirens by 15%</t>
      </text>
    </comment>
    <comment authorId="0" ref="U85">
      <text>
        <t xml:space="preserve">When this ship has the Out of Ammo debuff: decreases the DMG penalty's effect by 15%. When this ship fires her Main Guns: 75% chance to fire a frontal barrage (DMG is based on skill's level); If this barrage fails to activate: heals this ship for 5% of her max HP.</t>
      </text>
    </comment>
    <comment authorId="0" ref="V85">
      <text>
        <t xml:space="preserve">If there is at least 1 other Sardegna Empire ship in your fleet: decreases this ship's DMG taken by 20%. At the start of the battle, if the frontmost ship in your Vanguard is a Sardegna Empire ship: increases this ship's Main Gun efficiency by 10% and AA Gun efficiency by 50%; otherwise, spawns 2 shields around that ship that can block 3 enemy torpedoes.</t>
      </text>
    </comment>
    <comment authorId="0" ref="W85">
      <text>
        <t xml:space="preserve">While this ship is afloat, the other fleet sortied with this ship's fleet gets:
  For the first two battles, launch a supporting barrage 20 seconds after battle starts.
  For the 3rd and 4th battles, decrease Damage taken by 8% for all Sardegna ships in that fleet.</t>
      </text>
    </comment>
    <comment authorId="0" ref="X85">
      <text>
        <t xml:space="preserve">Increase damage to Sirens by 15%</t>
      </text>
    </comment>
    <comment authorId="0" ref="U86">
      <text>
        <t xml:space="preserve">70% Chance to fire a special barrage when firing her main guns (Skill-based damage).</t>
      </text>
    </comment>
    <comment authorId="0" ref="V86">
      <text>
        <t xml:space="preserve">Every 20 seconds, activates Instance Abreaction and launches a special airstrike (Skill and Firepower-based damage, airstrike deals shelling damage).</t>
      </text>
    </comment>
    <comment authorId="0" ref="W86">
      <text>
        <t xml:space="preserve">Increase this ship's Firepower by 8%
Once per battle, when this ship's HP falls below 30%, increase this ship's Firepower by 10% and heals this ship 4 times for 2% max HP each.</t>
      </text>
    </comment>
    <comment authorId="0" ref="U87">
      <text>
        <t xml:space="preserve">Every 20 seconds, Instance Domination to take control of Siren Aircraft and make them attack enemies (Skill-based damage, aircraft do shelling damage).</t>
      </text>
    </comment>
    <comment authorId="0" ref="V87">
      <text>
        <t xml:space="preserve">When this ship fires her main weapon, uses Instance Domination to take control of Siren weapons and make them attack enemies (Skill-based damage).</t>
      </text>
    </comment>
    <comment authorId="0" ref="U88">
      <text>
        <t xml:space="preserve">Fires a special barrage when firing her main guns.
Enemies hit by this barrage have their speed reduced by 20% for 3 seconds.
When an enemy gets close to this ship, fires a separate barrage that has a 15 second cooldown</t>
      </text>
    </comment>
    <comment authorId="0" ref="V88">
      <text>
        <t xml:space="preserve">Increase this ship's Firepower and Reload by 15%.
If this ship has an HE main gun equipped, increase this ship's armor modifier against Light and  Medium armor by 15%
If this ship is not the flagship, decrease her Main Gun's cooldown by 50%, but decrease its damage dealt by 45%.</t>
      </text>
    </comment>
    <comment authorId="0" ref="W88">
      <text>
        <t xml:space="preserve">Increase this ship's Critical Damage dealt by 20%.
The first five battles of the fleet this ship is NOT in gets these bonuses:
 - Decrease damage taken by all Iron Blood ships by 5%
 - Increase Critical Damage dealt for all iron Blood ships by 10%
 - Whenever an enemy comes within close range, fires a supporting barrage, up to 6 times a battle with a 5 seconds cooldown between each proc.</t>
      </text>
    </comment>
    <comment authorId="0" ref="U89">
      <text>
        <t xml:space="preserve">When firing her Main Guns, fires a barrage that inflicts a unique burn effect that lasts 6 seconds (76 Damage per second, skill-based damage).</t>
      </text>
    </comment>
    <comment authorId="0" ref="V89">
      <text>
        <t xml:space="preserve">Fire a torpedo barrage every 15 seconds.
Enemies hit by this barrage take 8% increased Damage from this ship for 10 seconds.
When this skill procs or when this ship sinks an enemy, increase this ship's Crit Rate by 3%, can stack 3 times.</t>
      </text>
    </comment>
    <comment authorId="0" ref="W89">
      <text>
        <t xml:space="preserve">Increase this ship's Firepower and AA by 5%.
If equipped with Iron Blood gear, increase this ship's Firepower by an additional 5% and decrease her Vanguard's Damage taken from Torpedoes by 5%.
If not equipped with Iron Blood gear, decreases her Vanguard's Damage taken from Aircraft by 8%</t>
      </text>
    </comment>
    <comment authorId="0" ref="X89">
      <text>
        <t xml:space="preserve">[OPERATION SIREN]
When fighting humanoid Siren fleets or Boss fleets, increase this ship's Critical Damage by 8%</t>
      </text>
    </comment>
  </commentList>
</comments>
</file>

<file path=xl/comments7.xml><?xml version="1.0" encoding="utf-8"?>
<comments xmlns:r="http://schemas.openxmlformats.org/officeDocument/2006/relationships" xmlns="http://schemas.openxmlformats.org/spreadsheetml/2006/main">
  <authors>
    <author/>
  </authors>
  <commentList>
    <comment authorId="0" ref="E1">
      <text>
        <t xml:space="preserve">Hit Points/Health</t>
      </text>
    </comment>
    <comment authorId="0" ref="F1">
      <text>
        <t xml:space="preserve">Firepower</t>
      </text>
    </comment>
    <comment authorId="0" ref="G1">
      <text>
        <t xml:space="preserve">Torpedo</t>
      </text>
    </comment>
    <comment authorId="0" ref="H1">
      <text>
        <t xml:space="preserve">Aviation/Airpower</t>
      </text>
    </comment>
    <comment authorId="0" ref="I1">
      <text>
        <t xml:space="preserve">Anti-Air</t>
      </text>
    </comment>
    <comment authorId="0" ref="J1">
      <text>
        <t xml:space="preserve">Reload</t>
      </text>
    </comment>
    <comment authorId="0" ref="K1">
      <text>
        <t xml:space="preserve">Evasion</t>
      </text>
    </comment>
    <comment authorId="0" ref="M1">
      <text>
        <t xml:space="preserve">Speed (Affects battle move speed and sortie move distance.)</t>
      </text>
    </comment>
    <comment authorId="0" ref="N1">
      <text>
        <t xml:space="preserve">Accuracy</t>
      </text>
    </comment>
    <comment authorId="0" ref="O1">
      <text>
        <t xml:space="preserve">Luck</t>
      </text>
    </comment>
    <comment authorId="0" ref="P1">
      <text>
        <t xml:space="preserve">Anti-Submarine Warfare</t>
      </text>
    </comment>
    <comment authorId="0" ref="Q1">
      <text>
        <t xml:space="preserve">Oil Cost</t>
      </text>
    </comment>
    <comment authorId="0" ref="R1">
      <text>
        <t xml:space="preserve">Oxygen</t>
      </text>
    </comment>
    <comment authorId="0" ref="S1">
      <text>
        <t xml:space="preserve">Ammunition</t>
      </text>
    </comment>
    <comment authorId="0" ref="U1">
      <text>
        <t xml:space="preserve">Air Control Value, A.K.A.
Air Supremacy/Air Superiority
This influences the control you have over a sortie's airspace and will provide buffs or debuffs depending on whether you have more, less, or match an enemy's airspace control.</t>
      </text>
    </comment>
    <comment authorId="0" ref="V2">
      <text>
        <t xml:space="preserve">When launching an airstrike, 15% chance to immediately ready next airstrike.</t>
      </text>
    </comment>
    <comment authorId="0" ref="V3">
      <text>
        <t xml:space="preserve">When launching an airstrike, 15% chance to immediately ready next airstrike.</t>
      </text>
    </comment>
    <comment authorId="0" ref="Y3">
      <text>
        <t xml:space="preserve">When launching an airstrike, increase Aviation of allied CVs and CVLs by 15% for 8 seconds.</t>
      </text>
    </comment>
    <comment authorId="0" ref="V4">
      <text>
        <t xml:space="preserve">When launching an airstrike, 15% chance to immediately ready next airstrike.</t>
      </text>
    </comment>
    <comment authorId="0" ref="V5">
      <text>
        <t xml:space="preserve">When launching an airstrike, 15% chance to immediately ready next airstrike.</t>
      </text>
    </comment>
    <comment authorId="0" ref="Y5">
      <text>
        <t xml:space="preserve">Increase Main fleet AA by 15%.</t>
      </text>
    </comment>
    <comment authorId="0" ref="V6">
      <text>
        <t xml:space="preserve">Increase XP gained by CVs and CVLs by 15%.</t>
      </text>
    </comment>
    <comment authorId="0" ref="V7">
      <text>
        <t xml:space="preserve">Increase XP gained by CVs and CVLs by 15%.</t>
      </text>
    </comment>
    <comment authorId="0" ref="Y7">
      <text>
        <t xml:space="preserve">Increase Reload of all CVLs by 15%</t>
      </text>
    </comment>
    <comment authorId="0" ref="V8">
      <text>
        <t xml:space="preserve">Every 10 seconds, fire of volley of covering fire.</t>
      </text>
    </comment>
    <comment authorId="0" ref="W8">
      <text>
        <t xml:space="preserve">When launching an airstrike, increase Vanguard damage by 15% for 8 seconds.</t>
      </text>
    </comment>
    <comment authorId="0" ref="V9">
      <text>
        <t xml:space="preserve">Every 10 seconds, fire of volley of covering fire.</t>
      </text>
    </comment>
    <comment authorId="0" ref="W9">
      <text>
        <t xml:space="preserve">When launching an airstrike, increase Vanguard damage by 15% for 8 seconds.</t>
      </text>
    </comment>
    <comment authorId="0" ref="V10">
      <text>
        <t xml:space="preserve">Every 10 seconds, fire of volley of covering fire.</t>
      </text>
    </comment>
    <comment authorId="0" ref="W10">
      <text>
        <t xml:space="preserve">When launching an airstrike, increase Vanguard damage by 15% for 8 seconds.</t>
      </text>
    </comment>
    <comment authorId="0" ref="Y10">
      <text>
        <t xml:space="preserve">When launching an airstrike, 70% chance to launch additional planes that inflict flood and burn damage on hit.</t>
      </text>
    </comment>
    <comment authorId="0" ref="V11">
      <text>
        <t xml:space="preserve">When launching an airstrike, 15% chance to immediately ready next airstrike.</t>
      </text>
    </comment>
    <comment authorId="0" ref="V12">
      <text>
        <t xml:space="preserve">When launching an airstrike, 15% chance to immediately ready next airstrike.</t>
      </text>
    </comment>
    <comment authorId="0" ref="Y12">
      <text>
        <t xml:space="preserve">25% chance to do double damage with airstrikes.</t>
      </text>
    </comment>
    <comment authorId="0" ref="V13">
      <text>
        <t xml:space="preserve">When HP falls below 20%, heal for 25% of max HP.  Only occurs once per battle.
When taking damage, launch retaliatory airstrike.  20 second cooldown.</t>
      </text>
    </comment>
    <comment authorId="0" ref="W13">
      <text>
        <t xml:space="preserve">When launching an airstrike, increase Vanguard damage by 15% for 8 seconds.</t>
      </text>
    </comment>
    <comment authorId="0" ref="V14">
      <text>
        <t xml:space="preserve">When launching an airstrike, 70% chance to deal double damage and evade all incoming attacks for 8 seconds.</t>
      </text>
    </comment>
    <comment authorId="0" ref="V15">
      <text>
        <t xml:space="preserve">When launching an airstrike, 60% chance to launch another, with B-25 bombers.</t>
      </text>
    </comment>
    <comment authorId="0" ref="W15">
      <text>
        <t xml:space="preserve">25% chance to do double damage with airstrikes.</t>
      </text>
    </comment>
    <comment authorId="0" ref="V16">
      <text>
        <t xml:space="preserve">When paired with a Royal Navy ship, when launching an airstrike, 50% chance to launch additional Spitfires.</t>
      </text>
    </comment>
    <comment authorId="0" ref="V17">
      <text>
        <t xml:space="preserve">25% chance to do double damage with airstrikes.</t>
      </text>
    </comment>
    <comment authorId="0" ref="V18">
      <text>
        <t xml:space="preserve">25% chance to do double damage with airstrikes.</t>
      </text>
    </comment>
    <comment authorId="0" ref="Y18">
      <text>
        <t xml:space="preserve">When HP falls under 30%, increase own luck by 7.
Every 20 seconds, activate a special skill.</t>
      </text>
    </comment>
    <comment authorId="0" ref="V19">
      <text>
        <t xml:space="preserve">When launching an airstrike, heal Vanguard for 8% of their max HP.</t>
      </text>
    </comment>
    <comment authorId="0" ref="W19">
      <text>
        <t xml:space="preserve">Increase Reload of Vanguard by 15%</t>
      </text>
    </comment>
    <comment authorId="0" ref="V20">
      <text>
        <t xml:space="preserve">If a CL gun is equipped in the third slot;
Increase slot efficiency by 45%, increase the range to 80, and fire a barrage every 24 seconds.
If a Divebomber is equipped in the third slot;
Decrease the load time of this ship's first airstrike by 50%</t>
      </text>
    </comment>
    <comment authorId="0" ref="W20">
      <text>
        <t xml:space="preserve">When launching an airstrike, launch an extra Swordfish airstrike.</t>
      </text>
    </comment>
    <comment authorId="0" ref="AB20">
      <text>
        <t xml:space="preserve">2 Divebombers @55% efficiency
or
CL gun +1 @100% efficiency</t>
      </text>
    </comment>
    <comment authorId="0" ref="V21">
      <text>
        <t xml:space="preserve">Airstrikes launch an extra squadron of Swordfish torpedo bombers, and reduces speed of all enemies on screen by 60% for 8 seconds.</t>
      </text>
    </comment>
    <comment authorId="0" ref="W21">
      <text>
        <t xml:space="preserve">25% chance to do double damage with airstrikes.</t>
      </text>
    </comment>
    <comment authorId="0" ref="V22">
      <text>
        <t xml:space="preserve">Airstrikes launch an extra squadron of Swordfish torpedo bombers, and reduces speed of all enemies on screen by 60% for 8 seconds.</t>
      </text>
    </comment>
    <comment authorId="0" ref="W22">
      <text>
        <t xml:space="preserve">25% chance to do double damage with airstrikes.</t>
      </text>
    </comment>
    <comment authorId="0" ref="Y22">
      <text>
        <t xml:space="preserve">Every 20 seconds: launches a special barrage with a special Swordfish airstrike (DMG is based on the skill's level) that reduces AA of enemies hit by 8% for 5 seconds, and increases the DMG dealt by destroyers and Royal Navy Vanguard ships by 10% for 8 seconds.</t>
      </text>
    </comment>
    <comment authorId="0" ref="V23">
      <text>
        <t xml:space="preserve">When launching an airstrike, spawns a shield on Vanguard ships for 8 seconds equal to 10% of Illustrious' HP.</t>
      </text>
    </comment>
    <comment authorId="0" ref="V24">
      <text>
        <t xml:space="preserve">Increase damage against BBs by 20%.
Decrease damage taken by arcing shots by 20%.
Increase damage other CVs/CVLs in this ship's fleet do to BBs by 10%</t>
      </text>
    </comment>
    <comment authorId="0" ref="W24">
      <text>
        <t xml:space="preserve">25% chance to do double damage with airstrikes.</t>
      </text>
    </comment>
    <comment authorId="0" ref="V25">
      <text>
        <t xml:space="preserve">Increase own Aviation by 15%
Equipping Fairey Albacores increases that slot's efficiency by 15%
When launching an airstrike, 100% chance to launch a special Fairey Albacore airstrike which has a 80% chance to cause 9 seconds of flooding damage to enemies hit.</t>
      </text>
    </comment>
    <comment authorId="0" ref="W25">
      <text>
        <t xml:space="preserve">When launching an airstrike, 80% chance to set speed of all enemies to 0 for 1.5 seconds.  Afterward, the effect will fade for 2.5 seconds before it ends.  This skill will always proc on the first airstrike of a battle.</t>
      </text>
    </comment>
    <comment authorId="0" ref="X25">
      <text>
        <t xml:space="preserve">Decrease own damage taken by 8%.
When launching an airstrike, reduces main fleet damage taken (besides this ship) by 8% for 10 seconds.</t>
      </text>
    </comment>
    <comment authorId="0" ref="V26">
      <text>
        <t xml:space="preserve">When launching an airstrike, increase Vanguard damage by 15% for 8 seconds.</t>
      </text>
    </comment>
    <comment authorId="0" ref="W26">
      <text>
        <t xml:space="preserve">When launching an Airstrike, decrease Vanguard damage taken by 15% for 8 seconds.</t>
      </text>
    </comment>
    <comment authorId="0" ref="V27">
      <text>
        <t xml:space="preserve">Increase own Firepower by 20%.</t>
      </text>
    </comment>
    <comment authorId="0" ref="Y27">
      <text>
        <t xml:space="preserve">First airstrike of each battle performs an additional machine-gun barrage.</t>
      </text>
    </comment>
    <comment authorId="0" ref="V28">
      <text>
        <t xml:space="preserve">Increase own Firepower by 20%.</t>
      </text>
    </comment>
    <comment authorId="0" ref="Y28">
      <text>
        <t xml:space="preserve">First airstrike of each battle performs an additional machine-gun barrage.</t>
      </text>
    </comment>
    <comment authorId="0" ref="V29">
      <text>
        <t xml:space="preserve">Increase own Firepower by 20%.</t>
      </text>
    </comment>
    <comment authorId="0" ref="Y29">
      <text>
        <t xml:space="preserve">Reduce reload time by 25% and add additional Suisei bombers to her first 2 airstrikes.
If paired with a CV or CVL, this skill applies to all airstrikes, not just the first 2.</t>
      </text>
    </comment>
    <comment authorId="0" ref="V30">
      <text>
        <t xml:space="preserve">Increase own Firepower by 20%.</t>
      </text>
    </comment>
    <comment authorId="0" ref="W30">
      <text>
        <t xml:space="preserve">Increase Firepower of Main fleet by 15%</t>
      </text>
    </comment>
    <comment authorId="0" ref="Y30">
      <text>
        <t xml:space="preserve">When enemies enter a certain range, fire a special barrage,  Can only activate 10 seconds into a battle, and can only be activated once every 10 seconds.</t>
      </text>
    </comment>
    <comment authorId="0" ref="V31">
      <text>
        <t xml:space="preserve">First two airstrikes per battle will launch with additional planes.</t>
      </text>
    </comment>
    <comment authorId="0" ref="V32">
      <text>
        <t xml:space="preserve">First two airstrikes per battle will launch with additional planes.</t>
      </text>
    </comment>
    <comment authorId="0" ref="V33">
      <text>
        <t xml:space="preserve">Increase XP gained by CVs and CVLs by 15%.</t>
      </text>
    </comment>
    <comment authorId="0" ref="W33">
      <text>
        <t xml:space="preserve">When launching an airstrike, increase Aviation of allied CVs and CVLs by 15% for 8 seconds.</t>
      </text>
    </comment>
    <comment authorId="0" ref="V34">
      <text>
        <t xml:space="preserve">When launching an airstrike, heal Vanguard for 8% of their max HP.</t>
      </text>
    </comment>
    <comment authorId="0" ref="V35">
      <text>
        <t xml:space="preserve">When launching an airstrike, heal Vanguard for 8% of their max HP.</t>
      </text>
    </comment>
    <comment authorId="0" ref="Y35">
      <text>
        <t xml:space="preserve">When launching an airstrike, increase Aviation of allied CVs and CVLs by 15% for 8 seconds.</t>
      </text>
    </comment>
    <comment authorId="0" ref="V36">
      <text>
        <t xml:space="preserve">When launching an airstrike, 70% chance to increase own Aviation and all CVLs Reload by 15%, and decrease damage taken by all CVs and CVLs by 15% for 8 seconds.</t>
      </text>
    </comment>
    <comment authorId="0" ref="W36">
      <text>
        <t xml:space="preserve">Twice per battle, launch an additional dive bomber squadron 5 seconds after an airstrike is readied.</t>
      </text>
    </comment>
    <comment authorId="0" ref="V37">
      <text>
        <t xml:space="preserve">Reduce charge time of first airstrike per battle by 50%.</t>
      </text>
    </comment>
    <comment authorId="0" ref="W37">
      <text>
        <t xml:space="preserve">When paired with Kaga (BB or CV), increase own Aviation by 35%.</t>
      </text>
    </comment>
    <comment authorId="0" ref="V38">
      <text>
        <t xml:space="preserve">Reduce charge time of first airstrike per battle by 50%.</t>
      </text>
    </comment>
    <comment authorId="0" ref="W38">
      <text>
        <t xml:space="preserve">When paired with Kaga (BB or CV), increase own Aviation by 35%.</t>
      </text>
    </comment>
    <comment authorId="0" ref="V39">
      <text>
        <t xml:space="preserve">When launching an airstrike, increase Vanguard damage by 15% for 8 seconds.</t>
      </text>
    </comment>
    <comment authorId="0" ref="W39">
      <text>
        <t xml:space="preserve">When paired with Hiryuu, increase own Aviation by 35%.</t>
      </text>
    </comment>
    <comment authorId="0" ref="V40">
      <text>
        <t xml:space="preserve">When launching an airstrike, increase Vanguard damage by 15% for 8 seconds.</t>
      </text>
    </comment>
    <comment authorId="0" ref="W40">
      <text>
        <t xml:space="preserve">When paired with Hiryuu, increase own Aviation by 35%.</t>
      </text>
    </comment>
    <comment authorId="0" ref="Y40">
      <text>
        <t xml:space="preserve">15 seconds after battle starts and every 20 seconds afterward, launch one of 4 random special airstrikes:
Five Brights:
5 Bombers (15 Bombs)
Boar, Deer, Butterfly:
3 Bombers (9 bombs)
Moonlight Sake:
2 Bombers (6 bombs)
Seeds:
1 Bomber (3 Bombs)</t>
      </text>
    </comment>
    <comment authorId="0" ref="V41">
      <text>
        <t xml:space="preserve">When taking lethal damage, will not sink, and will evade all attacks for 15 seconds while launching a final airstrike.</t>
      </text>
    </comment>
    <comment authorId="0" ref="W41">
      <text>
        <t xml:space="preserve">When paired with Hiryuu, increase own Aviation by 35%.</t>
      </text>
    </comment>
    <comment authorId="0" ref="V42">
      <text>
        <t xml:space="preserve">When taking lethal damage, will not sink, and will evade all attacks for 15 seconds while launching a final airstrike.</t>
      </text>
    </comment>
    <comment authorId="0" ref="W42">
      <text>
        <t xml:space="preserve">When paired with Hiryuu, increase own Aviation by 35%.</t>
      </text>
    </comment>
    <comment authorId="0" ref="Y42">
      <text>
        <t xml:space="preserve">10 seconds after battle starts and every 20 seconds afterward, launch one of 4 random special airstrikes:
Five Brights:
5 Bombers (10 Torpedoes)
Lesser Blue:
3 Bombers (6 Torpedoes)
Flower Sake:
Bombers (4 Torpedoes)
Scraps:
1 Bomber (2 Torpedoes)</t>
      </text>
    </comment>
    <comment authorId="0" ref="V43">
      <text>
        <t xml:space="preserve">When this ship launches an airstrike, increase damage dealt by this ship's fleet by 10% and decrease damage this ship's fleet takes by 10% for 12 seconds.</t>
      </text>
    </comment>
    <comment authorId="0" ref="W43">
      <text>
        <t xml:space="preserve">When paired with Zuikaku, increase own Aviation by 30%, but increases damage TAKEN by 5%</t>
      </text>
    </comment>
    <comment authorId="0" ref="V44">
      <text>
        <t xml:space="preserve">If there are at least 3 Sakura Empire ships in this ship's fleet, increase Damage of this ship's airstrikes by 20%
When launching an airstrike, increase all subsequent airstrike damage by 20% for the rest of the battle.  Can be stacked 3 times.</t>
      </text>
    </comment>
    <comment authorId="0" ref="W44">
      <text>
        <t xml:space="preserve">When paired with Shoukaku, increase Aviation by 20% and take 20% less damage.</t>
      </text>
    </comment>
    <comment authorId="0" ref="V45">
      <text>
        <t xml:space="preserve">When this ship loads an airstrike, randomly launch a Ryuusei, Suisei, or Saiun airstrike.  The two airstrikes that weren't selected have a 25% chance to launch each.
Saiuns don't attack, but increases Main Fleet damage by 10% for 8 seconds when launched.</t>
      </text>
    </comment>
    <comment authorId="0" ref="W45">
      <text>
        <t xml:space="preserve">Reduce HE and airstrike damage taken by 20%.</t>
      </text>
    </comment>
    <comment authorId="0" ref="V46">
      <text>
        <t xml:space="preserve">Launch Saiun recon planes 3 seconds after battle starts.
When launching airstrikes, launch extra Shiden, Ryuusei, and Saiun planes.
Saiuns reduce Firepower, Torpedo, and AA of a single enemy by 3% and increase that enemy's damage taken by 3%.  Prioritizes elite enemies first.  This debuff can stack 3 times, and lasts until the end of battle.</t>
      </text>
    </comment>
    <comment authorId="0" ref="W46">
      <text>
        <t xml:space="preserve">Increase this ship's Aviation by 15% for the first two battles of every sortie.
Fires a special barrage every 15 seconds.
While this ship is afloat, and the fleet this ship is NOT in engages in their 3rd, 4th, and 5th battles of a sortie, launches a support barrage 15 seconds after the other fleet's battle starts.</t>
      </text>
    </comment>
    <comment authorId="0" ref="X46">
      <text>
        <t xml:space="preserve">While this ship is afloat, increase the Firepower, Evasion, and ASW of all DDs in the same fleet.
If the fleet has 3 or more Sakura ships at the start of battle, reduce Shell and Aviation damage taken by this ship by 20% and increase Aviation and Accuracy of Sakura CV/CVLs by 15%</t>
      </text>
    </comment>
    <comment authorId="0" ref="Z46">
      <text>
        <t xml:space="preserve">Or Torpbombers</t>
      </text>
    </comment>
    <comment authorId="0" ref="V47">
      <text>
        <t xml:space="preserve">Reduce damage taken by all Ironblood ships by 15%.
Increase this ship's Aviation by 5% for every Ironblood ship in this ship's fleet, to a max of 15%.</t>
      </text>
    </comment>
    <comment authorId="0" ref="W47">
      <text>
        <t xml:space="preserve">Ironblood aircraft gain a 30% efficiency bonus.
(BF-109T, Me-155A, JU-87C, etc.)</t>
      </text>
    </comment>
    <comment authorId="0" ref="V48">
      <text>
        <t xml:space="preserve">Airstrikes launch an extra squadron of Swordfish torpedo bombers which reduces speed of enemies hit by 40% for 8 seconds.  Increase own damage against BBs by 10%.</t>
      </text>
    </comment>
    <comment authorId="0" ref="W48">
      <text>
        <t xml:space="preserve">When launching an airstrike, increase Aviation of Main fleet by 15% and Firepower of Main fleet by 10% for 8 seconds.</t>
      </text>
    </comment>
    <comment authorId="0" ref="AD48">
      <text>
        <t xml:space="preserve">One fighter gear slot is 120%, the other is 125%.  Just listed the average.</t>
      </text>
    </comment>
    <comment authorId="0" ref="V49">
      <text>
        <t xml:space="preserve">When launching an airstrike, launch an additional TBF Avenger squadron that inflicts flood damage on hit.
Damage against BBs (Not BCs or BBVs) increased by 10%.</t>
      </text>
    </comment>
    <comment authorId="0" ref="W49">
      <text>
        <t xml:space="preserve">Increase own Aviation and AA stats by 5% for every Eagle Union CV and CVL in fleet.
When own aircraft shoots down enemy aircraft, increase own AA by 3%.  Can stack 5 times.</t>
      </text>
    </comment>
    <comment authorId="0" ref="X49">
      <text>
        <t xml:space="preserve">If fleet has 4 or more Eagle Union ships, 12% chance to reduce damage taken by aircraft torpedoes and bombs to 1.  Applies to entire fleet.</t>
      </text>
    </comment>
    <comment authorId="0" ref="V50">
      <text>
        <t xml:space="preserve">When launching an airstrike, 15% chance to immediately ready next airstrike.</t>
      </text>
    </comment>
    <comment authorId="0" ref="W50">
      <text>
        <t xml:space="preserve">Each airstrike, for 10 seconds, reveals all submarines present, slows enemy subs by 40%, and launches an ASW airstrike.</t>
      </text>
    </comment>
    <comment authorId="0" ref="V51">
      <text>
        <t xml:space="preserve">Additional 15% efficiency when using Eagle Union planes.</t>
      </text>
    </comment>
    <comment authorId="0" ref="W51">
      <text>
        <t xml:space="preserve">When launching an airstrike, launch additional squadron of TBF Avengers.
If sortied with Cleveland Class CLs, increase their Firepower by 8%, increase self Aviation by 15%, and enhance Avenger barrage pattern.</t>
      </text>
    </comment>
    <comment authorId="0" ref="V52">
      <text>
        <t xml:space="preserve">Additional 15% efficiency when using Eagle Union planes.</t>
      </text>
    </comment>
    <comment authorId="0" ref="W52">
      <text>
        <t xml:space="preserve">When launching an airstrike, launch additional squadron of TBF Avengers.
If sortied with Cleveland Class CLs, increase their Firepower by 8%, increase self Aviation by 15%, and enhance Avenger barrage pattern.</t>
      </text>
    </comment>
    <comment authorId="0" ref="Y52">
      <text>
        <t xml:space="preserve">Improves "Knight of the Sky" Avenger airstrike.  As long as this ship is afloat:
1)  Increase Aviation by 12% and Reload by 10% for all CVs and CVLs in your fleet (Including this ship).  Decrease tthe load time of this ship's first airstrike by 25%.
2)  Increase Aviation and Reload 8% for all CVs and CVLs in each fleet this ship is NOT in (4% in Operation Siren)
Does not stack with other Supporting Wings skills</t>
      </text>
    </comment>
    <comment authorId="0" ref="V53">
      <text>
        <t xml:space="preserve">When launching airstrike, 80% chance to launch additional airstrike with B-25 Bombers</t>
      </text>
    </comment>
    <comment authorId="0" ref="W53">
      <text>
        <t xml:space="preserve">10 seconds after battle starts, launch one remote F6F fighter; if the fighter is shot down, launch an aerial barrage.
Every 8 seconds after launching the fighter, increase self accuracy by 3.0% and damage by 7.0%, can be stacked 5 times.</t>
      </text>
    </comment>
    <comment authorId="0" ref="V54">
      <text>
        <t xml:space="preserve">Increase own Aviation by 15%.
When set as Flagship, increase Eagle Union BB Firepower by 15%
When not Flagship, increase Eagle Union DD Firepower and AA by 15%</t>
      </text>
    </comment>
    <comment authorId="0" ref="W54">
      <text>
        <t xml:space="preserve">When with other CVs/CVLs, increase Main Fleet AA by 12%.
When launching an airstrike, launch a special airstrike based on number of CVs/CVLs in fleet</t>
      </text>
    </comment>
    <comment authorId="0" ref="V55">
      <text>
        <t xml:space="preserve">If more than 3 Sakura Empire ships in fleet, launch an aerial barrage 12 seconds after battle starts.</t>
      </text>
    </comment>
    <comment authorId="0" ref="W55">
      <text>
        <t xml:space="preserve">When launching an airstrike, lowest % HP Vanguard ships evades all damage for 5 seconds.</t>
      </text>
    </comment>
    <comment authorId="0" ref="V56">
      <text>
        <t xml:space="preserve">Increase Firepower by 80 every 8 seconds.  When stacked 3 times, trigger special barrage and wipe stacks.
Enhances barrage if a secondary gun is equipped.</t>
      </text>
    </comment>
    <comment authorId="0" ref="W56">
      <text>
        <t xml:space="preserve">Increase own Aviation, Anti-Air, and Reload by 5% for every Ironblood ship in the fleet.</t>
      </text>
    </comment>
    <comment authorId="0" ref="AB56">
      <text>
        <t xml:space="preserve">3 Dive Bombers if equipped with them.  None if you equip CL weapon.</t>
      </text>
    </comment>
    <comment authorId="0" ref="AE56">
      <text>
        <t xml:space="preserve">Depends whether you equip a CL weapon or more Dive Bombers in the third gear slot.</t>
      </text>
    </comment>
    <comment authorId="0" ref="V57">
      <text>
        <t xml:space="preserve">Increases fighter Efficiency by 30% when equipped with a F6F Hellcat, and has a 70% chance to launch additional Hellcats when launching an airstrike.</t>
      </text>
    </comment>
    <comment authorId="0" ref="W57">
      <text>
        <t xml:space="preserve">When not set as flagship, increase Reload for other CVs and CVLs by 15% and increases AA for Main Fleet by 50.</t>
      </text>
    </comment>
    <comment authorId="0" ref="AD57">
      <text>
        <t xml:space="preserve">155% when equipped with an F6F Hellcat</t>
      </text>
    </comment>
    <comment authorId="0" ref="V58">
      <text>
        <t xml:space="preserve">If the number of Muse ships in the fleet is;
Odd: Launches dive bombers 10 seconds after launching an airstrike.
Even: Launches torp bombers 10 seconds after launching an airstrike.</t>
      </text>
    </comment>
    <comment authorId="0" ref="W58">
      <text>
        <t xml:space="preserve">Reduces reload time of first airstrike by 40%.  Increase own Aviation stat by 10% per Muse ship in fleet, can stack up to 4 times.</t>
      </text>
    </comment>
    <comment authorId="0" ref="V59">
      <text>
        <t xml:space="preserve">The first 3 airstrikes will heal ships in your fleet 3 times over 3 seconds, healing the one with the lowest HP percentage.  Each heal is 3% of this ship's max HP.
With a full Main Fleet, this heal is increased by 100%.</t>
      </text>
    </comment>
    <comment authorId="0" ref="W59">
      <text>
        <t xml:space="preserve">While afloat, decreases Vanguard's damage taken by SS Torpedoes by 12%.
When allied SS fleet enters combat, heals each SS by 20% of their max HP.
When allied SS's or SSVs sink an enemy ship, increase this ship's damage by 3.5%, can be stacked 6 times.</t>
      </text>
    </comment>
    <comment authorId="0" ref="V60">
      <text>
        <t xml:space="preserve">Launches a SB2C Helldiver airstrike when this ship's airstrike is ready.
This airstrike inflicts Armor Break on BBs, BCs, and BBVs hit by it.  Doesn't stack.</t>
      </text>
    </comment>
    <comment authorId="0" ref="W60">
      <text>
        <t xml:space="preserve">Sortie battles 1, 3, and 5 increases this ship's Aviation by 15%
Sortie Battles 2, 4, and 6 decreases this ship's Damage taken by 12%</t>
      </text>
    </comment>
    <comment authorId="0" ref="X60">
      <text>
        <t xml:space="preserve">When HP falls below 20%, Decrease this ship's damage taken by 25% for 20 seconds and takes no burn damage for 30 seconds.
Can only proc once per battle.</t>
      </text>
    </comment>
    <comment authorId="0" ref="V61">
      <text>
        <t xml:space="preserve">When launching an airstrike, 15% chance to immediately ready next airstrike.</t>
      </text>
    </comment>
    <comment authorId="0" ref="W61">
      <text>
        <t xml:space="preserve">As long as this ship is afloat;
Decrease this ship's first airstrike load time by 25%
Increase Aviation by 12% and Reload by 10% for all CVs/CVLs in this ship's fleet.
Increase this ship's Reload by 8% for every CV/CVL in the fleet this ship is NOT in.  Does not stack.</t>
      </text>
    </comment>
    <comment authorId="0" ref="V62">
      <text>
        <t xml:space="preserve">If a CL gun is equipped in the third slot;
Increase slot efficiency by 45%, increase the range to 80, and fire a barrage every 24 seconds.
If a Divebomber is equipped in the third slot;
Decrease the load time of this ship's first airstrike by 50%</t>
      </text>
    </comment>
    <comment authorId="0" ref="W62">
      <text>
        <t xml:space="preserve">Five seconds after an airstrike is loaded, launch a plane barrage.  May trigger up to 3 times per battle.</t>
      </text>
    </comment>
    <comment authorId="0" ref="AB62">
      <text>
        <t xml:space="preserve">2 Divebombers @55% efficiency
or
CL gun +1 @100% efficiency</t>
      </text>
    </comment>
    <comment authorId="0" ref="V63">
      <text>
        <t xml:space="preserve">When launching an airstrike, 70% chance to launch a Swordfish airstrike.</t>
      </text>
    </comment>
    <comment authorId="0" ref="W63">
      <text>
        <t xml:space="preserve">12 Seconds after battle starts and 70% chance every 20 seconds afterward, launches an airstrike that decreases hit rate against your ships by 30% for all enemies hit by it for 4 seconds, during which the effect will fade.</t>
      </text>
    </comment>
    <comment authorId="0" ref="V64">
      <text>
        <t xml:space="preserve">At the start of battle, immediately ready 2 airstrikes, and airstrike reload time increases by 90%
Each airstrike will heal 7% Vanguard's max HP and 3.5% Main Fleet's max HP.</t>
      </text>
    </comment>
    <comment authorId="0" ref="W64">
      <text>
        <t xml:space="preserve">Every 12 seconds, launch one of three airstrikes (Sea Hornet, TBF Avenger, or Firefly)</t>
      </text>
    </comment>
    <comment authorId="0" ref="X64">
      <text>
        <t xml:space="preserve">Hangar capacity increased to 3, all ships in fleet restore 1% HP every 20 seconds.
The fleet this ship is not in will restore 3% of that fleet's Vanguard's max HP 20 seconds after battle starts.</t>
      </text>
    </comment>
    <comment authorId="0" ref="V65">
      <text>
        <t xml:space="preserve">The first airstrike of each battle with launch an extra Seaplane airstrike.  Subsequent airstrikes have a 70% chance to launch this airstrike again.
Seaplane airstrike is enhanced when sortied with other Sakura CVLs.</t>
      </text>
    </comment>
    <comment authorId="0" ref="W65">
      <text>
        <t xml:space="preserve">When launching an airstrike, increase Aviation of allied CVs and CVLs by 15% for 8 seconds.</t>
      </text>
    </comment>
    <comment authorId="0" ref="V66">
      <text>
        <t xml:space="preserve">The first airstrike of each battle with launch an extra Seaplane airstrike.  Subsequent airstrikes have a 70% chance to launch this airstrike again.
Seaplane airstrike is enhanced when sortied with other Sakura CVLs.</t>
      </text>
    </comment>
    <comment authorId="0" ref="W66">
      <text>
        <t xml:space="preserve">25% chance to do double damage with airstrikes.</t>
      </text>
    </comment>
    <comment authorId="0" ref="V67">
      <text>
        <t xml:space="preserve">When this ship launches an airstrike, reduce this ship's Aviation damage taken by 70% for 8 seconds.
After the  seconds, 70% chance to launch a TBF Avenger airstrike.</t>
      </text>
    </comment>
    <comment authorId="0" ref="W67">
      <text>
        <t xml:space="preserve">When sortied with Birmingham, and/or at least 3 Eagle Union ships, decrease Vanguard burn damage taken by 15% and burn duration by 3 seconds.
If this ship is the flagship, decrease Vanguard burn duration by another 3 seconds.</t>
      </text>
    </comment>
    <comment authorId="0" ref="V68">
      <text>
        <t xml:space="preserve">When launching an airstrike, launch an additional airstrike. (Skill-based damage)
If the airstrike is launched above 45% HP, the airstrike is stronger but this ship takes 200 Damage.</t>
      </text>
    </comment>
    <comment authorId="0" ref="W68">
      <text>
        <t xml:space="preserve">At the start of battle, increase this ship's Aviation by 6% for each Muse ship in the same fleet. (Can be stacked 4 times).
Once per battle, if this ship falls below 35% HP from being attacked, fires a barrage that heals this ship for 8% of the damage dealt (Skill-based damage) and decreases the load time of this ship's next airstrike by 20%.</t>
      </text>
    </comment>
    <comment authorId="0" ref="V69">
      <text>
        <t xml:space="preserve">When airstrike finishes loading, decrease speed of all enemies by 30% for 4 seconds and randomly activates one of the following effects:
1:  Decrease all enemies' Evasion by 15% for 10 seconds.
2:  For 10 seconds, increase Vanguard damage dealt by 15% and decrease Main Fleet damage taken by 10%.
3:  For 10 seconds, increase Main Fleet damage dealt by 10% and decrease Vanguard damage taken by 10%.</t>
      </text>
    </comment>
    <comment authorId="0" ref="W69">
      <text>
        <t xml:space="preserve">When launching an airstrike, 100% chance to launch an additional airstrike. (Skill-based damage)</t>
      </text>
    </comment>
    <comment authorId="0" ref="V70">
      <text>
        <t xml:space="preserve">When launching an airstrike, launch an additional Torpedo Bomber airstrike.  (Skill-based damage)</t>
      </text>
    </comment>
    <comment authorId="0" ref="W70">
      <text>
        <t xml:space="preserve">Decrease Speed of all enemies by 8%.
Once every second, 10% chance to set Speed of all enemies to 0 for 3 seconds (With a 7 second cooldown).</t>
      </text>
    </comment>
    <comment authorId="0" ref="X70">
      <text>
        <t xml:space="preserve">For each Ironblood ship in this ship's fleet, Increase this ship's Aviation by 5% (Up to 15%).
If there are 4 or more Ironblood ships in the fleet, reduce first airstrike loadtime for the Fleet's Ironblood CVs/CVLs by 10%.</t>
      </text>
    </comment>
    <comment authorId="0" ref="V71">
      <text>
        <t xml:space="preserve">When launching an airstrike, 70% chance to launch an additional airstrike. (Skill-based damage)
If here are three or more Ironblood ships in the fleet, increase this ship's Crit Damage by 20%.
If there are no other Ironblood ships, Increase this ship's Reload by 10% and AA by 15%, and increase the proc chance of the special airstrike by 30% (Basically a guaranteed proc).</t>
      </text>
    </comment>
    <comment authorId="0" ref="W71">
      <text>
        <t xml:space="preserve">Every 20 seconds after battle starts, deploy a shield on a random Vanguard ship in the fleet that lasts for 8 seconds and can block 6 shells.
If the chosen ship is an Ironblood ship, Increase that ship's Firepower by 15% for 8 seconds and heals Weser for 5% max HP.</t>
      </text>
    </comment>
    <comment authorId="0" ref="V72">
      <text>
        <t xml:space="preserve">When this ship launches an Airstrike, 75% chance to launch an aerial barrage (damage increases and pattern improves with skill level).</t>
      </text>
    </comment>
    <comment authorId="0" ref="W72">
      <text>
        <t xml:space="preserve">1)  Fighter equipped in slot 2:
  a)  Heal the Vanguard ship and Mainfleet ship with the lowest percentage HP by 8% of their max HP.
  b)  Give each of those ships an HP barrier, which can block up to 6% of those ships' max HP and lasts for up to 5 seconds.
2)  Dive Bomber equipped in slot 2:
  a)  Start battle with a pre-loaded airstrike
  b)  Decrease load time for this ship's airstrikes by 10%
  c)  Increase Damage dealt by this ship by 8%.</t>
      </text>
    </comment>
    <comment authorId="0" ref="X72">
      <text>
        <t xml:space="preserve">Decrease all damage this ship receives by 12%. For every 3 enemy aircraft shot down by this ship's aircraft, increases your whole fleet's AA stat by 5%. This buff may be stacked up to 3 times.</t>
      </text>
    </comment>
    <comment authorId="0" ref="V73">
      <text>
        <t xml:space="preserve">When this ship launches an airstrike, launch an aerial barrage. The barrage planes fire rockets that inflict Burn to enemies hit. (Barrage damage and burn damage scale with skill level and this ship's AVI stat. This burn stacks with other sources of burn.)</t>
      </text>
    </comment>
    <comment authorId="0" ref="W73">
      <text>
        <t xml:space="preserve">Decrease the first 4 instances of damage taken by 60% each battle. At the start of the battle and every 20 seconds after that, the lead ship in your vanguard gains a shield. The shield blocks up to six shells and lasts up to 8 seconds.</t>
      </text>
    </comment>
    <comment authorId="0" ref="X73">
      <text>
        <t xml:space="preserve">Increases this ship's AVI by 10%. When sortied with another CV or CVL, decrease all damage your flagship takes by 15%.</t>
      </text>
    </comment>
    <comment authorId="0" ref="V74">
      <text>
        <t xml:space="preserve">Activates one of the following effects at random when launching an airstrike:
  1)  Double this ship's Damage dealt to all enemies for 6 seconds
  2)  100% Evasion RATE for this ship for 5 seconds.
  3)  Decrease Speed of all enemies by 30% for 4 seconds.</t>
      </text>
    </comment>
    <comment authorId="0" ref="V76">
      <text>
        <t xml:space="preserve">10 Seconds after battle beings and every 20 seconds afterward, launch a slash attack.  Enemies hit by this attack take 15% more damage from this ship for 15 seconds. (Skill-based damage).
[Operation Siren]
This ship does 8% more Damage when fighting humanoid Siren fleets or Siren Boss fleets.</t>
      </text>
    </comment>
    <comment authorId="0" ref="W76">
      <text>
        <t xml:space="preserve">Increase this ship's Aviation by 20%.
Every 20 seconds, launches a random airstrike. (Skill-based damage for each different airstrike)</t>
      </text>
    </comment>
    <comment authorId="0" ref="X76">
      <text>
        <t xml:space="preserve">If this ship has a Sakura Empire aircraft equipped; Launch a special airstrike every 15 seconds (Skill-based damage).
If not;
The first 4 times this ship is hit, the hits inflict 35% less damage.  After the fourth hit, this ship takes 12% less Damage and increases Evasion by 12% until the end of battle.</t>
      </text>
    </comment>
    <comment authorId="0" ref="Y76">
      <text>
        <t xml:space="preserve">[OPERATION SIREN]
Increase this ship's damage dealt by 8% when fighting humanoid Siren or Boss fleets.</t>
      </text>
    </comment>
    <comment authorId="0" ref="V77">
      <text>
        <t xml:space="preserve">Launch a special barrage that slows enemies hit by 20% every 20 seconds (Skill-based damage).</t>
      </text>
    </comment>
    <comment authorId="0" ref="W77">
      <text>
        <t xml:space="preserve">When this ship launches an airstrike, 50% chance to increase this ship's damage dealt for 8 seconds.
If the effect doesn't activate, fire a special barrage (Skill-based damage).</t>
      </text>
    </comment>
    <comment authorId="0" ref="X77">
      <text>
        <t xml:space="preserve">Increase this ship's Accuracy by 15%
If equipped with a Royal Navy aircraft;  Launch an additional special airstrike when launching an airstrike.
If no Royal Navy aircraft are equipped;  Increase AA for this ship and the front-most Vanguard ship by 15% for 60 seconds after battle starts.</t>
      </text>
    </comment>
    <comment authorId="0" ref="Y77">
      <text>
        <t xml:space="preserve">[OPERATION SIREN]
Decrease Damage taken by this fleet's Vanguard by 8% when fighting humanoid Siren or Boss fleets.</t>
      </text>
    </comment>
    <comment authorId="0" ref="AF77">
      <text>
        <t xml:space="preserve">3 @ 145%
3 @ 140%</t>
      </text>
    </comment>
    <comment authorId="0" ref="V78">
      <text>
        <t xml:space="preserve">10 Seconds after battle starts and every 20 seconds afterward;  Fire a special barrage that inflicts burn for 6 seconds (Skill-based damage)</t>
      </text>
    </comment>
    <comment authorId="0" ref="W78">
      <text>
        <t xml:space="preserve">When launching an airstrike;  launch an additional airstrike and a slashing attack which inflicts flooding.  (Flood damage is Aviaion+skill based, airstrike and slashes are skill-based damage)</t>
      </text>
    </comment>
    <comment authorId="0" ref="X78">
      <text>
        <t xml:space="preserve">When sortied with any Hiryuu, or has any Sakura aircraft equipped;
Increase this ship's Aviation by 20%
When a Vanguard ship fires her torpedoes, 50% chance to increase this ship's Damage Dealt by 20% for 5 seconds.</t>
      </text>
    </comment>
    <comment authorId="0" ref="Y78">
      <text>
        <t xml:space="preserve">[OPERATION SIREN]
Increase this ship's accuracy by 5%.
When fighting Humanoid Siren fleets or Boss fleets, increase Accuracy by another 5% and Aviation by 5%.</t>
      </text>
    </comment>
    <comment authorId="0" ref="V79">
      <text>
        <t xml:space="preserve">For each Destroyer in fleet, increases own reload by 5% and reduces received damage from shelling by 5%</t>
      </text>
    </comment>
    <comment authorId="0" ref="V80">
      <text>
        <t xml:space="preserve">Every 15 seconds, switch between following effects:
1. Reduce damage taken by 20%
2. Increase damage dealt by 20%
3. Restore 15 HP every 3 seconds.</t>
      </text>
    </comment>
    <comment authorId="0" ref="W80">
      <text>
        <t xml:space="preserve">Every 20 seconds, 40% chance to launch a special airstrike.</t>
      </text>
    </comment>
    <comment authorId="0" ref="V81">
      <text>
        <t xml:space="preserve">30, 45, and 60 seconds after battle starts, launch special airstrikes.</t>
      </text>
    </comment>
    <comment authorId="0" ref="W81">
      <text>
        <t xml:space="preserve">When sortied with Kizuna Ai (DD), 25% chance for airstrikes to do double damage.</t>
      </text>
    </comment>
    <comment authorId="0" ref="V82">
      <text>
        <t xml:space="preserve">Launching an airstrike has a 100% chance to launch a barrage that causes burning.</t>
      </text>
    </comment>
    <comment authorId="0" ref="W82">
      <text>
        <t xml:space="preserve">Decrease damage Hololive ships take by 7%.
Every 20 seconds, reduce Speed of all enemies, increase Accuracy of all allied ships, and increase Speed of all Hololive ships by 10% for 8 seconds.</t>
      </text>
    </comment>
    <comment authorId="0" ref="V83">
      <text>
        <t xml:space="preserve">Fire a wave of Light when launching an airstrike that reduces damage dealt by enemy ships by 5% for 8 seconds.</t>
      </text>
    </comment>
    <comment authorId="0" ref="W83">
      <text>
        <t xml:space="preserve">Every 8 seconds, generate 1 MP.  When at 3 MP, fire a special barrage and reset MP to 0.
(Special barrage every 24 seconds)</t>
      </text>
    </comment>
    <comment authorId="0" ref="V84">
      <text>
        <t xml:space="preserve">Odd airstrikes launch extra torpedo bombers, Even airstrikes launch extra dive bombers.</t>
      </text>
    </comment>
    <comment authorId="0" ref="V85">
      <text>
        <t xml:space="preserve">Launch a special airstrike 5 seconds after this ship loads each airstrike (Skill-based damage).</t>
      </text>
    </comment>
    <comment authorId="0" ref="W85">
      <text>
        <t xml:space="preserve">Increase this ship's damage against BBs by 10%.
When launching an airstrike, 70% chance to decrease damage taken by ??% for 8 seconds for a random Vanguard ship.</t>
      </text>
    </comment>
    <comment authorId="0" ref="V86">
      <text>
        <t xml:space="preserve">When this ship launches her first Airstrike in a battle: 80% chance (100% on subsequent Airstrikes) to launch a special airstrike (DMG is based on the skill's level).
At the start of the battle, if there is another The Idolmaster collab ship in your fleet: increases the first activation chance to 100%.</t>
      </text>
    </comment>
    <comment authorId="0" ref="W86">
      <text>
        <t xml:space="preserve">When this ship sinks an enemy: increases this ship's AVI and RLD by 5% until the end of the battle (can be stacked up to 3 times).
At the start of the battle, if there is another The Idolmaster collab ship in your fleet: adds 3 stacks of this buff.</t>
      </text>
    </comment>
    <comment authorId="0" ref="X86">
      <text>
        <t xml:space="preserve">Decreases the loading time of this ship's first Airstrike by 30%. Decreases DMG taken by 10% for all The Idolmaster collab ships in your fleet.</t>
      </text>
    </comment>
    <comment authorId="0" ref="V87">
      <text>
        <t xml:space="preserve">When this ship launches an Airstrike: 100% chance to launch an additional special airstrike (DMG is based on skill's level).
(Special airstrike includes lightning strikes that cause all hit enemies to take 8% more DMG for 7 seconds.)</t>
      </text>
    </comment>
    <comment authorId="0" ref="W87">
      <text>
        <t xml:space="preserve">If this ship is equipped with a Fighter: fires a special barrage every 12 seconds; 
Otherwise, fire a slashing barrage every time this ship launches an Airstrike. Both barrages' DMG is based on skill's level.</t>
      </text>
    </comment>
    <comment authorId="0" ref="X87">
      <text>
        <t xml:space="preserve">If this ship is equipped with a Sakura Empire aircraft: increases this ship's AVI and Accuracy by 15%;
If not equipped with any Sakura Empire aircraft: increases this ship's AA and Accuracy by 15% instead.</t>
      </text>
    </comment>
    <comment authorId="0" ref="Y87">
      <text>
        <t xml:space="preserve">Increase damage to Sirens by 15%</t>
      </text>
    </comment>
    <comment authorId="0" ref="V88">
      <text>
        <t xml:space="preserve">When this ship launches an airstrike, 75% chance to inflict 234 damage to all enemies, and gradually decrease their speed to 0 over the next 2.5 seconds. Enemies remain at 0 speed for an additional 1 second, after which this debuff expires and their speed returns to normal.</t>
      </text>
    </comment>
    <comment authorId="0" ref="W88">
      <text>
        <t xml:space="preserve">When this ship launches an airstrike, launch an aerial barrage (barrage damage scales with skill level). Light and medium armor enemies hit by this barrage take 8% more aviation damage for 5 seconds.</t>
      </text>
    </comment>
    <comment authorId="0" ref="X88">
      <text>
        <t xml:space="preserve">Increase this ship's damage dealt to CLs and CAs by 20%. If this ship is equipped with at least one Iron Blood aircraft, increase this ship's AVI and RLD by 12% and Fighter efficiency by 10%.</t>
      </text>
    </comment>
    <comment authorId="0" ref="Y88">
      <text>
        <t xml:space="preserve">Increase damage to Sirens by 15%</t>
      </text>
    </comment>
    <comment authorId="0" ref="V89">
      <text>
        <t xml:space="preserve">This ship starts battle with an airstrike ready.
Every battle, when this ship launches her second airstrike and every airstrike afterward, launch and additional special airstrike (Skill-based damage).</t>
      </text>
    </comment>
    <comment authorId="0" ref="W89">
      <text>
        <t xml:space="preserve">Every battle, when this ship launches her first and third airstrikes, launches a bombing raid using Goldburn, and spawns a shield around the Vanguard that lasts 10 seconds, reduces Vanguard Damage Taken by 8%, and can block up to 15 shots.  (Skill-based Goldburn damage).</t>
      </text>
    </comment>
    <comment authorId="0" ref="V90">
      <text>
        <t xml:space="preserve">When launching an airstrike, launch an additional special airstrike (Skill-based damage).</t>
      </text>
    </comment>
    <comment authorId="0" ref="W90">
      <text>
        <t xml:space="preserve">If Junyou is in this ship's fleet when battle starts, increase this ship's Aviation and Accuracy by 10%.</t>
      </text>
    </comment>
    <comment authorId="0" ref="X90">
      <text>
        <t xml:space="preserve">If this ship has Sakura aircraft equipped, increase this ship's max Detection Gauge by 15% at the start of battle.
Otherwise, decrease this ship's Damage taken by 15%.</t>
      </text>
    </comment>
    <comment authorId="0" ref="Y90">
      <text>
        <t xml:space="preserve">[OPERATION SIREN]
Increase this ship's damage dealt by 6% when fighting humanoid Siren or Boss fleets.</t>
      </text>
    </comment>
    <comment authorId="0" ref="V91">
      <text>
        <t xml:space="preserve">Increase this ship's Aviation and Accuracy by 15%
When this ship finished loading an Airstrike, 80% chance to launch a special airstrike (Skill-based damage).</t>
      </text>
    </comment>
    <comment authorId="0" ref="W91">
      <text>
        <t xml:space="preserve">At the start of battle and when launching an airstrike, spawns a shield on the lead Vanguard ship that lasts 8 seconds and blocks up to 6 shots.
The shield's duration is refreshed if it procs while the effect is still active.
If the shield is destroyed, increases this ship's Damage dealt by 15% until her next airstrike.</t>
      </text>
    </comment>
  </commentList>
</comments>
</file>

<file path=xl/comments8.xml><?xml version="1.0" encoding="utf-8"?>
<comments xmlns:r="http://schemas.openxmlformats.org/officeDocument/2006/relationships" xmlns="http://schemas.openxmlformats.org/spreadsheetml/2006/main">
  <authors>
    <author/>
  </authors>
  <commentList>
    <comment authorId="0" ref="E1">
      <text>
        <t xml:space="preserve">Hit Points/Health</t>
      </text>
    </comment>
    <comment authorId="0" ref="F1">
      <text>
        <t xml:space="preserve">Firepower</t>
      </text>
    </comment>
    <comment authorId="0" ref="G1">
      <text>
        <t xml:space="preserve">Torpedo</t>
      </text>
    </comment>
    <comment authorId="0" ref="H1">
      <text>
        <t xml:space="preserve">Aviation/Airpower</t>
      </text>
    </comment>
    <comment authorId="0" ref="I1">
      <text>
        <t xml:space="preserve">Anti-Air</t>
      </text>
    </comment>
    <comment authorId="0" ref="J1">
      <text>
        <t xml:space="preserve">Reload</t>
      </text>
    </comment>
    <comment authorId="0" ref="K1">
      <text>
        <t xml:space="preserve">Evasion</t>
      </text>
    </comment>
    <comment authorId="0" ref="M1">
      <text>
        <t xml:space="preserve">Speed (Affects battle move speed and sortie move distance.)</t>
      </text>
    </comment>
    <comment authorId="0" ref="N1">
      <text>
        <t xml:space="preserve">Accuracy</t>
      </text>
    </comment>
    <comment authorId="0" ref="O1">
      <text>
        <t xml:space="preserve">Luck</t>
      </text>
    </comment>
    <comment authorId="0" ref="P1">
      <text>
        <t xml:space="preserve">Anti-Submarine Warfare</t>
      </text>
    </comment>
    <comment authorId="0" ref="Q1">
      <text>
        <t xml:space="preserve">Oil Cost</t>
      </text>
    </comment>
    <comment authorId="0" ref="R1">
      <text>
        <t xml:space="preserve">Oxygen</t>
      </text>
    </comment>
    <comment authorId="0" ref="S1">
      <text>
        <t xml:space="preserve">Ammunition</t>
      </text>
    </comment>
    <comment authorId="0" ref="U2">
      <text>
        <t xml:space="preserve">Once per battle, when a ship falls under 20% HP, heal it for 20% of its max HP.
If target is Enterprise, heal is increased to 50%.</t>
      </text>
    </comment>
    <comment authorId="0" ref="V2">
      <text>
        <t xml:space="preserve">Begin each Sortie with 3 Emergency Repairs.</t>
      </text>
    </comment>
    <comment authorId="0" ref="U3">
      <text>
        <t xml:space="preserve">Every 35 seconds, heal entire fleet for 3% of Akashi's max HP.</t>
      </text>
    </comment>
    <comment authorId="0" ref="V3">
      <text>
        <t xml:space="preserve">Increase Reload of Vanguard by 15%</t>
      </text>
    </comment>
    <comment authorId="0" ref="W3">
      <text>
        <t xml:space="preserve">Begin each Sortie with 3 Emergency Repairs.</t>
      </text>
    </comment>
    <comment authorId="0" ref="U4">
      <text>
        <t xml:space="preserve">Reduce this ship's damage received from shelling by 10% for the first 3 battles of a sortie.
Increase this ship's speed by 10 if the fleet has more than 2 Sakura ships at the start of battle.</t>
      </text>
    </comment>
    <comment authorId="0" ref="V4">
      <text>
        <t xml:space="preserve">When equipped with cargo, reduce this ship's burn damage taken by 15% and burn time by 6 seconds.</t>
      </text>
    </comment>
    <comment authorId="0" ref="W4">
      <text>
        <t xml:space="preserve">Kashino, 10 shots</t>
      </text>
    </comment>
    <comment authorId="0" ref="U5">
      <text>
        <t xml:space="preserve">5 seconds after the battle starts, as well as every 20 seconds: fires a special barrage (DMG is based on the skill's level). Enemies hit by this barrage take 15% more DMG from The Idolmaster collab ships for 5 seconds. At the start of the battle, if there are no more than 3 The Idolmaster collab ships in your fleet: increases this ship's FP by 100% and improves this barrage.</t>
      </text>
    </comment>
    <comment authorId="0" ref="V5">
      <text>
        <t xml:space="preserve">When this ship has Cargo equipped: decreases the time this ship Burns by 3 seconds and decreases your Flagship's Burn DMG taken by 15%, but also decreases this ship's Speed by 3.</t>
      </text>
    </comment>
  </commentList>
</comments>
</file>

<file path=xl/comments9.xml><?xml version="1.0" encoding="utf-8"?>
<comments xmlns:r="http://schemas.openxmlformats.org/officeDocument/2006/relationships" xmlns="http://schemas.openxmlformats.org/spreadsheetml/2006/main">
  <authors>
    <author/>
  </authors>
  <commentList>
    <comment authorId="0" ref="E1">
      <text>
        <t xml:space="preserve">Hit Points/Health</t>
      </text>
    </comment>
    <comment authorId="0" ref="F1">
      <text>
        <t xml:space="preserve">Firepower</t>
      </text>
    </comment>
    <comment authorId="0" ref="G1">
      <text>
        <t xml:space="preserve">Torpedo</t>
      </text>
    </comment>
    <comment authorId="0" ref="H1">
      <text>
        <t xml:space="preserve">Aviation/Airpower</t>
      </text>
    </comment>
    <comment authorId="0" ref="I1">
      <text>
        <t xml:space="preserve">Anti-Air</t>
      </text>
    </comment>
    <comment authorId="0" ref="J1">
      <text>
        <t xml:space="preserve">Reload</t>
      </text>
    </comment>
    <comment authorId="0" ref="K1">
      <text>
        <t xml:space="preserve">Evasion</t>
      </text>
    </comment>
    <comment authorId="0" ref="M1">
      <text>
        <t xml:space="preserve">Speed (Affects battle move speed and sortie move distance.)</t>
      </text>
    </comment>
    <comment authorId="0" ref="N1">
      <text>
        <t xml:space="preserve">Accuracy</t>
      </text>
    </comment>
    <comment authorId="0" ref="O1">
      <text>
        <t xml:space="preserve">Luck</t>
      </text>
    </comment>
    <comment authorId="0" ref="P1">
      <text>
        <t xml:space="preserve">Anti-Submarine Warfare</t>
      </text>
    </comment>
    <comment authorId="0" ref="Q1">
      <text>
        <t xml:space="preserve">Oil Cost</t>
      </text>
    </comment>
    <comment authorId="0" ref="R1">
      <text>
        <t xml:space="preserve">Oxygen</t>
      </text>
    </comment>
    <comment authorId="0" ref="S1">
      <text>
        <t xml:space="preserve">Ammunition</t>
      </text>
    </comment>
    <comment authorId="0" ref="U2">
      <text>
        <t xml:space="preserve">After entering battle for 8 seconds, launch a wave of penetrating  torpedoes.</t>
      </text>
    </comment>
    <comment authorId="0" ref="V2">
      <text>
        <t xml:space="preserve">Decrease torpedo speed by 1, increase damage by 12%.</t>
      </text>
    </comment>
    <comment authorId="0" ref="X2">
      <text>
        <t xml:space="preserve">Fires barrage when entering battle.</t>
      </text>
    </comment>
    <comment authorId="0" ref="U3">
      <text>
        <t xml:space="preserve">Damage done to CVs increased by 15%.</t>
      </text>
    </comment>
    <comment authorId="0" ref="V3">
      <text>
        <t xml:space="preserve">Increase own Oxygen by 40.</t>
      </text>
    </comment>
    <comment authorId="0" ref="X3">
      <text>
        <t xml:space="preserve">Fires barrage when entering battle.</t>
      </text>
    </comment>
    <comment authorId="0" ref="U4">
      <text>
        <t xml:space="preserve">Increase damage done to CAs by 15%.
When leaving battle, fire a wave of torpedoes.</t>
      </text>
    </comment>
    <comment authorId="0" ref="X4">
      <text>
        <t xml:space="preserve">Fires barrage when entering battle.</t>
      </text>
    </comment>
    <comment authorId="0" ref="U5">
      <text>
        <t xml:space="preserve">Increase damage dealt to CVs by 20%
When torps hit, 15% chance to cause flooding for 24 seconds.  Doesn't stack, but does refresh.</t>
      </text>
    </comment>
    <comment authorId="0" ref="V5">
      <text>
        <t xml:space="preserve">Increase Evasion by 40%.
Every Ironblood sub in fleet increases U-81's Torpedo, Reload, and Accuracy stats by 7% each.</t>
      </text>
    </comment>
    <comment authorId="0" ref="X5">
      <text>
        <t xml:space="preserve">Fires barrage when entering battle.</t>
      </text>
    </comment>
    <comment authorId="0" ref="U6">
      <text>
        <t xml:space="preserve">Increase damage to CAs by 15%.</t>
      </text>
    </comment>
    <comment authorId="0" ref="V6">
      <text>
        <t xml:space="preserve">Increase own Oxygen by 40.</t>
      </text>
    </comment>
    <comment authorId="0" ref="X6">
      <text>
        <t xml:space="preserve">Fires barrage when entering battle.</t>
      </text>
    </comment>
    <comment authorId="0" ref="S7">
      <text>
        <t xml:space="preserve">4, when solo.</t>
      </text>
    </comment>
    <comment authorId="0" ref="U7">
      <text>
        <t xml:space="preserve">When a target is damaged by a torpedo from U-47; the next torpedo from U-47 which hits in the next 5 seconds will have damage increase by 40%</t>
      </text>
    </comment>
    <comment authorId="0" ref="V7">
      <text>
        <t xml:space="preserve">If U-47 is the only sub in the sub fleet, increase damage against BBs (Not BCs or BBVs) by 20%.
Increase Search level by 1 and ammo by 2.</t>
      </text>
    </comment>
    <comment authorId="0" ref="X7">
      <text>
        <t xml:space="preserve">Fires barrage when entering battle.</t>
      </text>
    </comment>
    <comment authorId="0" ref="U8">
      <text>
        <t xml:space="preserve">Increase damage to CLs by 15%.</t>
      </text>
    </comment>
    <comment authorId="0" ref="V8">
      <text>
        <t xml:space="preserve">Every Ironblood sub in fleet increases U-557's Torpedo, Reload, and Accuracy stats by 6% each.</t>
      </text>
    </comment>
    <comment authorId="0" ref="X8">
      <text>
        <t xml:space="preserve">Fires barrage when entering battle.</t>
      </text>
    </comment>
    <comment authorId="0" ref="U9">
      <text>
        <t xml:space="preserve">Increase Vanguard Accuracy by 20% for 20 seconds when entering battle.</t>
      </text>
    </comment>
    <comment authorId="0" ref="V9">
      <text>
        <t xml:space="preserve">When Surcouf's oxygen supply runs out and she surfaces, can stay on the surface for an extra 12 seconds.</t>
      </text>
    </comment>
    <comment authorId="0" ref="X9">
      <text>
        <t xml:space="preserve">Fires barrage when entering battle.</t>
      </text>
    </comment>
    <comment authorId="0" ref="U10">
      <text>
        <t xml:space="preserve">Increase damage against DDs, CLs, and CVs by 10%</t>
      </text>
    </comment>
    <comment authorId="0" ref="V10">
      <text>
        <t xml:space="preserve">When Albacore's oxygen supply has run out and resurfaces, launch a set of special torpedoes, special torpedoes have a 70% chance to inflict burn damage on hit. (burn damage is based on torpedo stat).</t>
      </text>
    </comment>
    <comment authorId="0" ref="X10">
      <text>
        <t xml:space="preserve">Fires barrage when entering battle.</t>
      </text>
    </comment>
    <comment authorId="0" ref="U11">
      <text>
        <t xml:space="preserve">When entering battle, launch a Saiun.  Increases main fleet damage by 10% for 10 seconds.</t>
      </text>
    </comment>
    <comment authorId="0" ref="V11">
      <text>
        <t xml:space="preserve">Increase own Oxygen by 40.</t>
      </text>
    </comment>
    <comment authorId="0" ref="X11">
      <text>
        <t xml:space="preserve">Fires barrage when entering battle.</t>
      </text>
    </comment>
    <comment authorId="0" ref="U12">
      <text>
        <t xml:space="preserve">When present in battle, if a ship falls below 20% health, launch a torpedo barrage.  Barrage is enhanced if Bismarck is present.  Can only occur once per battle.</t>
      </text>
    </comment>
    <comment authorId="0" ref="V12">
      <text>
        <t xml:space="preserve">Every Ironblood sub in fleet increases this boat's Torpedo, Reload, and Accuracy stats by 6% each.</t>
      </text>
    </comment>
    <comment authorId="0" ref="X12">
      <text>
        <t xml:space="preserve">Fires barrage when entering battle.</t>
      </text>
    </comment>
    <comment authorId="0" ref="U13">
      <text>
        <t xml:space="preserve">Increase Damage of airstrikes by CVs and CVLs by 15% while alive.</t>
      </text>
    </comment>
    <comment authorId="0" ref="V13">
      <text>
        <t xml:space="preserve">Every Ironblood sub in fleet increases this boat's Torpedo, Reload, and Accuracy stats by 6% each.</t>
      </text>
    </comment>
    <comment authorId="0" ref="X13">
      <text>
        <t xml:space="preserve">Fires barrage when entering battle.</t>
      </text>
    </comment>
    <comment authorId="0" ref="U14">
      <text>
        <t xml:space="preserve">Launches a recon plane when entering battle, increasing Accuracy for all friendly Submarines by 10%. </t>
      </text>
    </comment>
    <comment authorId="0" ref="V14">
      <text>
        <t xml:space="preserve">Launch torpedo barrage when surfacing.  70% chance for barrage and gun hits to lower Reload and Accuracy of of their target by 10% for 15 seconds.</t>
      </text>
    </comment>
    <comment authorId="0" ref="X14">
      <text>
        <t xml:space="preserve">Fires barrage when entering battle.</t>
      </text>
    </comment>
    <comment authorId="0" ref="U15">
      <text>
        <t xml:space="preserve">Decrease torpedo speed by 1, increase damage by 12%.</t>
      </text>
    </comment>
    <comment authorId="0" ref="V15">
      <text>
        <t xml:space="preserve">Increase own Firepower, Torpedo, and Reload stats by 15% when Airspace Control is at parity or above.</t>
      </text>
    </comment>
    <comment authorId="0" ref="X15">
      <text>
        <t xml:space="preserve">Fires barrage when entering battle.</t>
      </text>
    </comment>
    <comment authorId="0" ref="U16">
      <text>
        <t xml:space="preserve">Increase own damage to CVs by 20%.
Launches torpedo barrage with 100% crit chance when surfacing.</t>
      </text>
    </comment>
    <comment authorId="0" ref="V16">
      <text>
        <t xml:space="preserve">Decrease torpedo speed by 1, increase damage by 12%.</t>
      </text>
    </comment>
    <comment authorId="0" ref="X16">
      <text>
        <t xml:space="preserve">Fires barrage when entering battle.</t>
      </text>
    </comment>
    <comment authorId="0" ref="U17">
      <text>
        <t xml:space="preserve">Increase own Accuracy by 15%.
Will move forward for 18 seconds before returning to her original position when entering a battle as the sub fleet flagship.</t>
      </text>
    </comment>
    <comment authorId="0" ref="V17">
      <text>
        <t xml:space="preserve">Increase Evasion and damage dealt to enemy DDs and CLs by 7% for all Ironblood subs in fleet.
Increase own Torpedo and Reload stats by 6% for every Ironblood sub in the sub fleet.</t>
      </text>
    </comment>
    <comment authorId="0" ref="X17">
      <text>
        <t xml:space="preserve">Fires barrage when entering battle.</t>
      </text>
    </comment>
    <comment authorId="0" ref="U18">
      <text>
        <t xml:space="preserve">Increase own Oxygen by 20.
Enables battle support outside of hunting range once per sortie.</t>
      </text>
    </comment>
    <comment authorId="0" ref="V18">
      <text>
        <t xml:space="preserve">Every Ironblood sub in fleet increases this boat's Torpedo, Reload, and Accuracy stats by 6% each.</t>
      </text>
    </comment>
    <comment authorId="0" ref="X18">
      <text>
        <t xml:space="preserve">Fires barrage when entering battle.</t>
      </text>
    </comment>
    <comment authorId="0" ref="U19">
      <text>
        <t xml:space="preserve">Damage taken by friendly subs decreased by 15%.
Leaving battle heals 8% of own max health.</t>
      </text>
    </comment>
    <comment authorId="0" ref="V19">
      <text>
        <t xml:space="preserve">increase own damage to CVs by 20%
When surfacing after running out of Oxygen and when leaving battle, fire a barrage.  Increase barrage damage by 15% if Albacore's in the same fleet.</t>
      </text>
    </comment>
    <comment authorId="0" ref="X19">
      <text>
        <t xml:space="preserve">Fires barrage when entering battle.</t>
      </text>
    </comment>
    <comment authorId="0" ref="U20">
      <text>
        <t xml:space="preserve">Gives one of the following buffs for all Ironblood ships in fleet when entering battle:
-Increase damage dealt by 3%
-Decrease damage taken by 3%
-Increase Crit rate and Crit damage by 3%
-Increase Evasion by 4%
-Increase Accuracy by 4%
-Increase AA by 4%</t>
      </text>
    </comment>
    <comment authorId="0" ref="V20">
      <text>
        <t xml:space="preserve">Every Ironblood sub in fleet increases this boat's Torpedo, Reload, and Accuracy stats by 6% each.</t>
      </text>
    </comment>
    <comment authorId="0" ref="X20">
      <text>
        <t xml:space="preserve">Fires barrage when entering battle.</t>
      </text>
    </comment>
    <comment authorId="0" ref="U21">
      <text>
        <t xml:space="preserve">Increase this ship's damage dealt to DDs and CLs by 15%.</t>
      </text>
    </comment>
    <comment authorId="0" ref="V21">
      <text>
        <t xml:space="preserve">Increase own Oxygen by 40.</t>
      </text>
    </comment>
    <comment authorId="0" ref="X21">
      <text>
        <t xml:space="preserve">Fires barrage when entering battle.</t>
      </text>
    </comment>
    <comment authorId="0" ref="U22">
      <text>
        <t xml:space="preserve">Increase Torpedo Crit Chance by 20%
Launch a Torpedo barrage when entering battle.</t>
      </text>
    </comment>
    <comment authorId="0" ref="V22">
      <text>
        <t xml:space="preserve">Increases Accuracy by 10% and Crit Damage by 15% for Ironblood Subs in the fleet.
Increase own Accuracy, Reload, and Evasion stat by 6% for every Ironblood Sub in the fleet.</t>
      </text>
    </comment>
    <comment authorId="0" ref="X22">
      <text>
        <t xml:space="preserve">Fires barrage when entering battle.</t>
      </text>
    </comment>
    <comment authorId="0" ref="U23">
      <text>
        <t xml:space="preserve">Increase this ship's by 20.
When this ship surfaces, fires a torp barrage with a 70% chance to inflict Armor Break.
When this ship retreats, fire a torp barrage with a 70% chance to burn </t>
      </text>
    </comment>
    <comment authorId="0" ref="X23">
      <text>
        <t xml:space="preserve">Fires barrage when entering battle.</t>
      </text>
    </comment>
    <comment authorId="0" ref="U24">
      <text>
        <t xml:space="preserve">Increase Oxygen by 20 and damage vs Light armor by 15%.
When surfacing, fire a special torpedo barrage.  (Skill-based damage)</t>
      </text>
    </comment>
    <comment authorId="0" ref="V24">
      <text>
        <t xml:space="preserve">Increase Speed by 3 and Reload by 18%.
For each Ironblood SS in the fleet, increase this ship's Torpedo, Evasion, and Accuracy by 6%.</t>
      </text>
    </comment>
    <comment authorId="0" ref="X24">
      <text>
        <t xml:space="preserve">Fires barrage when entering battle.</t>
      </text>
    </comment>
    <comment authorId="0" ref="U25">
      <text>
        <t xml:space="preserve">Increase this ship's Damage dealt to CLs by 15%.
When surfacing, fire a barrage (Skill-based damage).</t>
      </text>
    </comment>
    <comment authorId="0" ref="V25">
      <text>
        <t xml:space="preserve">Every Ironblood sub in fleet increases this boat's Torpedo, Reload, and Accuracy stats by 6% each.</t>
      </text>
    </comment>
    <comment authorId="0" ref="X25">
      <text>
        <t xml:space="preserve">Fires barrage when entering battle.</t>
      </text>
    </comment>
    <comment authorId="0" ref="U26">
      <text>
        <t xml:space="preserve">Increases this boat's DMG dealt to enemy DDs by 15%. When this boat resurfaces: decreases her DMG taken by 30% and fires a special barrage (DMG is based on the skill's level).</t>
      </text>
    </comment>
    <comment authorId="0" ref="X26">
      <text>
        <t xml:space="preserve">Fires barrage when entering battle.</t>
      </text>
    </comment>
    <comment authorId="0" ref="U27">
      <text>
        <t xml:space="preserve">Increases this ship's DMG to Heavy Armor enemies by 15%. When sortied with at least 1 other Eagle Union submarine: increases Crit DMG by 15% and increases TRP and Accuracy by 8% for all your Eagle Union submarines.</t>
      </text>
    </comment>
    <comment authorId="0" ref="V27">
      <text>
        <t xml:space="preserve">Increases this ship's OXY by 20. When this ship resurfaces, and when it leaves the battle: fires a torpedo barrage (DMG is based on the skill's level).</t>
      </text>
    </comment>
    <comment authorId="0" ref="X27">
      <text>
        <t xml:space="preserve">Fires barrage when entering battle.</t>
      </text>
    </comment>
    <comment authorId="0" ref="U28">
      <text>
        <t xml:space="preserve">At the start of the battle: this boat moves forward a set distance, then fires a torpedo barrage (DMG is based on the skill's level) and briefly resurfaces. Afterwards, she submerges and moves back into attack position, then fires a stronger torpedo barrage. This boat takes 60.0% less DMG while resurfaced as part of this skill's effect.</t>
      </text>
    </comment>
    <comment authorId="0" ref="V28">
      <text>
        <t xml:space="preserve">When this boat is hit by an enemy: increases that enemy's DMG taken by 8.0% for 3 seconds. If the enemy is a DD: also decreases that enemy's Speed by 20% for 5 seconds.</t>
      </text>
    </comment>
    <comment authorId="0" ref="X28">
      <text>
        <t xml:space="preserve">Fires barrage when leaving battle.</t>
      </text>
    </comment>
    <comment authorId="0" ref="U29">
      <text>
        <t xml:space="preserve">Decrease own Oxygen by 60.
20 seconds after entering battle, increase own damage dealt by 30%.
When retreating, increase speed by 100%.</t>
      </text>
    </comment>
    <comment authorId="0" ref="V29">
      <text>
        <t xml:space="preserve">Give all allied ships random buff when entering battle.
Hololive ships get 50% extra effect from the buff (1.5x)</t>
      </text>
    </comment>
    <comment authorId="0" ref="W29">
      <text>
        <t xml:space="preserve">Fire a special 100% crit chance barrage when entering battle.
If fleet has 2 or more Hololive ships, the barrage is enhanced.</t>
      </text>
    </comment>
    <comment authorId="0" ref="U30">
      <text>
        <t xml:space="preserve">When this boat enters the battle: decreases the Speed of a random ship in your Vanguard by 1 for 1 second, then heals said ship for 100 HP and increases her EVA by 8% for 20 seconds.</t>
      </text>
    </comment>
    <comment authorId="0" ref="V30">
      <text>
        <t xml:space="preserve">Fires a special barrage at the start of battle.</t>
      </text>
    </comment>
    <comment authorId="0" ref="U31">
      <text>
        <t xml:space="preserve">When this boat enters the battle: decreases the Speed of a random ship in your Main Fleet by 1 for 1 second, then heals said ship for 100 HP and increases her Accuracy by 8% for 20 seconds.</t>
      </text>
    </comment>
    <comment authorId="0" ref="V31">
      <text>
        <t xml:space="preserve">Fires a special barrage at the start of battle.</t>
      </text>
    </comment>
    <comment authorId="0" ref="U32">
      <text>
        <t xml:space="preserve">Decrease this ship's Oxygen by 10.
When surfacing and retreating from battle, increase this boat's Damage dealt by 15%.
When retreating, increase this boat's speed by 50%</t>
      </text>
    </comment>
    <comment authorId="0" ref="V32">
      <text>
        <t xml:space="preserve">Every Ironblood sub in fleet increases this boat's Torpedo, Reload, and Accuracy stats by 6% each.</t>
      </text>
    </comment>
    <comment authorId="0" ref="X32">
      <text>
        <t xml:space="preserve">Fires barrage when entering battle.</t>
      </text>
    </comment>
  </commentList>
</comments>
</file>

<file path=xl/sharedStrings.xml><?xml version="1.0" encoding="utf-8"?>
<sst xmlns="http://schemas.openxmlformats.org/spreadsheetml/2006/main" count="17356" uniqueCount="2613">
  <si>
    <r>
      <rPr>
        <rFont val="Arial"/>
        <sz val="12.0"/>
      </rPr>
      <t xml:space="preserve">Welcome to my attempt at something of a quick-reference spreadsheet.  The goal of this spreadsheet is to provide relevant and focused (Or simplified) data that can be accessed and compared quickly and easily.
The </t>
    </r>
    <r>
      <rPr>
        <rFont val="Arial"/>
        <b/>
        <sz val="12.0"/>
      </rPr>
      <t xml:space="preserve">Masterlist </t>
    </r>
    <r>
      <rPr>
        <rFont val="Arial"/>
        <sz val="12.0"/>
      </rPr>
      <t xml:space="preserve">tab contains all of the ships in the game, their lvl 125 max stats, and the first node you can find them in and/or their construction types and times.  Note that the node listed as their drop location is only the first node they can drop at, not necessarily the only one.  If you want to see more detailed information for a ship, like all of its drop locations, their names are linked to their wiki page for easy access.
The </t>
    </r>
    <r>
      <rPr>
        <rFont val="Arial"/>
        <b/>
        <sz val="12.0"/>
      </rPr>
      <t>Ship Type</t>
    </r>
    <r>
      <rPr>
        <rFont val="Arial"/>
        <sz val="12.0"/>
      </rPr>
      <t xml:space="preserve"> tabs break down the different types of ships (DD, CL, BB, etc.) and have color grading on their stats so you can see how ships perform stat-wise compared to other ships of their same, or similar, type.  They're pretty colorful and might make your eyes bleed at first, but I've found this extremely helpful.  Skills are listed on these pages to the right of the stats.  Mouse over a skill to get a description of what it does.  Numbers in the skill descriptions are at max rank, usually level 10, or max limit break.  Finally, there are 3 columns for what gear they use, and one column that shows the efficiency of that gear (100/110/120, for example, would mean their primary weapon would work at 100% efficiency, their secondary at 110%, and so on).  
I've kept retrofits seperate from their originals.  You'll see a non-retrofit "Cassin" and a "Cassin (R)" for the fully-retrofit version, for example.  
At the end are tabs for </t>
    </r>
    <r>
      <rPr>
        <rFont val="Arial"/>
        <b/>
        <sz val="12.0"/>
      </rPr>
      <t>Weapons, Aircraft, AA Guns, Aux Gear,</t>
    </r>
    <r>
      <rPr>
        <rFont val="Arial"/>
        <sz val="12.0"/>
      </rPr>
      <t xml:space="preserve"> and</t>
    </r>
    <r>
      <rPr>
        <rFont val="Arial"/>
        <b/>
        <sz val="12.0"/>
      </rPr>
      <t xml:space="preserve"> ASW Gear</t>
    </r>
    <r>
      <rPr>
        <rFont val="Arial"/>
        <sz val="12.0"/>
      </rPr>
      <t xml:space="preserve">.  They only show the gold and purple versions of each item (If they have them) in an attempt to keep things simple.  I get the DPS numbers and stats from the AL wiki linked below.
I want to stress that this isn't a guide or a rulebook.  If you want a guide, look below for a link to </t>
    </r>
    <r>
      <rPr>
        <rFont val="Arial"/>
        <b/>
        <sz val="12.0"/>
      </rPr>
      <t>AriPanda's Azur Lane Guide</t>
    </r>
    <r>
      <rPr>
        <rFont val="Arial"/>
        <sz val="12.0"/>
      </rPr>
      <t xml:space="preserve">.  It's a very impressive and comprehensive guide.  If you want a deep dive into the game's intricacies I've also linked </t>
    </r>
    <r>
      <rPr>
        <rFont val="Arial"/>
        <b/>
        <sz val="12.0"/>
      </rPr>
      <t>Doublemint's "Gear and Girls"</t>
    </r>
    <r>
      <rPr>
        <rFont val="Arial"/>
        <sz val="12.0"/>
      </rPr>
      <t xml:space="preserve"> Google Doc.  It's been incredibly helpful to me as I was getting into the game.  I'm still not an expert at this game by any means, I just know the numbers.  Thanks for the hard work everyone has put into the wiki and other resources that've helped me out.
The formula used for the "Air Sup" (Air supremacy) column in the CV tab was kindly provided by @deceived on Discord.
Finally, If you have any questions or ideas that'll help me improve the spreadsheet without making it too cluttered or confusing, or if you find any mistakes, please let me know.  My Discord is Gorreci#9871.  I'm in the offical Azur Lane Discord.  I'm a lurker though, so you won't see me in any of the channels for the most part.
If you're not familiar with spreadsheets, the tabs are at the bottom.</t>
    </r>
  </si>
  <si>
    <r>
      <rPr>
        <rFont val="Arial"/>
        <b/>
        <sz val="12.0"/>
      </rPr>
      <t>Changlelog:
01/03/2022:</t>
    </r>
    <r>
      <rPr>
        <rFont val="Arial"/>
        <sz val="12.0"/>
      </rPr>
      <t xml:space="preserve">  Added the following ship's stats and skills;
 - Ashes BC Gneisenau META
 - Ashes CVL Hiyou META
 - KMS BB Ulrich von Hutten
 - KMS CA Adalbert
 - KMS CVL Elbe
 - KMS CL Magdeburg
 - KMS SS U-1206</t>
    </r>
    <r>
      <rPr>
        <rFont val="Arial"/>
        <b/>
        <sz val="12.0"/>
      </rPr>
      <t xml:space="preserve">
12/21/2021:</t>
    </r>
    <r>
      <rPr>
        <rFont val="Arial"/>
        <sz val="12.0"/>
      </rPr>
      <t xml:space="preserve">  Added the new Gear Lab weapons and some of the season 4 research weapons I missed.</t>
    </r>
    <r>
      <rPr>
        <rFont val="Arial"/>
        <b/>
        <sz val="12.0"/>
      </rPr>
      <t xml:space="preserve">
11/30/2021:</t>
    </r>
    <r>
      <rPr>
        <rFont val="Arial"/>
        <sz val="12.0"/>
      </rPr>
      <t xml:space="preserve">  Added stats and skills for:
 - USS CA New Orleans
 - MNF CA Foch
 - SSSS CV Chise Asukagawa
 - SSSS BB Akane Shinjo
 - SSSS BB Mujina
 - SSSS CA Yume Minami
 - SSSS CA Namiko
 - SSSS CL Rikka Takarada
 - SSSS CL Hass
Also updated U-96's stats.
</t>
    </r>
    <r>
      <rPr>
        <rFont val="Arial"/>
        <b/>
        <sz val="12.0"/>
      </rPr>
      <t xml:space="preserve">
11/04/2021:</t>
    </r>
    <r>
      <rPr>
        <rFont val="Arial"/>
        <sz val="12.0"/>
      </rPr>
      <t xml:space="preserve">  Add stats and skills for:
 - FFNF DD Le Terrible
 - FFNF DD Maillé Brézé
  I've also added all the DD max LB bonuses.</t>
    </r>
    <r>
      <rPr>
        <rFont val="Arial"/>
        <b/>
        <sz val="12.0"/>
      </rPr>
      <t xml:space="preserve">
10/30/2021:</t>
    </r>
    <r>
      <rPr>
        <rFont val="Arial"/>
        <sz val="12.0"/>
      </rPr>
      <t xml:space="preserve">  Will add stats for the two new ships when I get them.</t>
    </r>
    <r>
      <rPr>
        <rFont val="Arial"/>
        <b/>
        <sz val="12.0"/>
      </rPr>
      <t xml:space="preserve">
10/19/2021:</t>
    </r>
    <r>
      <rPr>
        <rFont val="Arial"/>
        <sz val="12.0"/>
      </rPr>
      <t xml:space="preserve">  I'll be finishing up with the last of the ships in a sec, just wanted to get this to-do list down while I was thinking about it.  I've changed the order of the columns in the Masterlist and ship class tabs to match the same order as it's in on the wiki.  It made it easier for me to fill in the cells instead of jumping around and such.  I could've copy+pasted, but I took my time to fill in each cell just so I could get an idea of the stat changes for each ship type.  There were mistakes in the spreadsheet that I never caught that've been fixed due to going over every ship manually.  I probably still made a mistake or typo or two doing all this, but I think I fixed more than I broke.  Probably.  I've tried to be careful and double-check things I type in as often as possible, but I'm not the most consistent typist.
Left to do:
 - Work on new DD column (Done)
 - Update PR ship skill descriptions (Fate simulation shenanigans)
 - Update limited/build times for ships moved to war archive/core data
 - Not sure on U-96's lvl 125 stats, her stats are still lvl 120 ATM.</t>
    </r>
    <r>
      <rPr>
        <rFont val="Arial"/>
        <b/>
        <sz val="12.0"/>
      </rPr>
      <t xml:space="preserve">
10/17/2021:</t>
    </r>
    <r>
      <rPr>
        <rFont val="Arial"/>
        <sz val="12.0"/>
      </rPr>
      <t xml:space="preserve">  Added the skills to Fusou META, and apparently I had missed adding HMS Penelope to the ship type tabs, so I added her in too with her skills.
Finished the CLs, CAs, and CBs today.  Might be able to finish the rest of the ships tomorrow.  </t>
    </r>
    <r>
      <rPr>
        <rFont val="Arial"/>
        <b/>
        <sz val="12.0"/>
      </rPr>
      <t xml:space="preserve">
10/16/2021:</t>
    </r>
    <r>
      <rPr>
        <rFont val="Arial"/>
        <sz val="12.0"/>
      </rPr>
      <t xml:space="preserve">  I've finished updating the stats for all the Destroyers, and I got most (if not all) the base game ships.  I'll work on the other classes tomorrow or so.  Dotted lines updated to show where I left off in each class tab.  I'll start working on the limit break bonuses for the Destroyers when I'm done updating the stats for all of the ships.
For those that are interested, all Destroyers got a boost to their Evasion (By about 40, depending on faction and DD type) and their Accuracy.  Most CLs got a boost to Evasion as well, but not as much, maybe about 15-20 EVA on average.  CAs didn't really get anything.  RIP.
I've also added Fusou META, will add her skills tomorrow.</t>
    </r>
    <r>
      <rPr>
        <rFont val="Arial"/>
        <b/>
        <sz val="12.0"/>
      </rPr>
      <t xml:space="preserve">
10/15/2021:</t>
    </r>
    <r>
      <rPr>
        <rFont val="Arial"/>
        <sz val="12.0"/>
      </rPr>
      <t xml:space="preserve">  I've started working on the lvl 125 stat changes for all the ships.  I got up to #150 on the list, there's a dotted line in the ship class tabs that show where I've gotten to.  I'll continue tomorrow or the day after.</t>
    </r>
    <r>
      <rPr>
        <rFont val="Arial"/>
        <b/>
        <sz val="12.0"/>
      </rPr>
      <t xml:space="preserve">
09/30/2021:</t>
    </r>
    <r>
      <rPr>
        <rFont val="Arial"/>
        <sz val="12.0"/>
      </rPr>
      <t xml:space="preserve">  Update's out today, I'll be updating all the ships up to their lvl 125 stats and listing the Destroyer bonuses from last update while I'm at it.  It'll be a long and gradual process.  I'll list here what I get done, but for the first day or two I'll focus on actually playing the game.  After that I'll focus on getting the spreadsheet updated.</t>
    </r>
    <r>
      <rPr>
        <rFont val="Arial"/>
        <b/>
        <sz val="12.0"/>
      </rPr>
      <t xml:space="preserve">
09/19/2021:</t>
    </r>
    <r>
      <rPr>
        <rFont val="Arial"/>
        <sz val="12.0"/>
      </rPr>
      <t xml:space="preserve">  Add ship stats and skills for the following ships added in the "Upon the Shimmering Blue" update:
 - Ashes CV Souryuu META
 - IJN CV Katsuragi
 - IJN CA Chikuma
 - IJN CL Yura
 - IJN DD Shimakaze
 - IJN DD Umikaze
 - IJN DD Yamakaze</t>
    </r>
    <r>
      <rPr>
        <rFont val="Arial"/>
        <b/>
        <sz val="12.0"/>
      </rPr>
      <t xml:space="preserve">
09/17/2021: </t>
    </r>
    <r>
      <rPr>
        <rFont val="Arial"/>
        <sz val="12.0"/>
      </rPr>
      <t xml:space="preserve"> While I wait for the numbers and stats and the like, I'm experimenting with how I'll update the DD tab to reflect the new buffs they got.  It'll be a long-term process, there are a lot of DDs in the game.  I'll update the stats as soon as I get them.  Still struggling to get Shimakaze...</t>
    </r>
    <r>
      <rPr>
        <rFont val="Arial"/>
        <b/>
        <sz val="12.0"/>
      </rPr>
      <t xml:space="preserve">
09/13/2021: </t>
    </r>
    <r>
      <rPr>
        <rFont val="Arial"/>
        <sz val="12.0"/>
      </rPr>
      <t xml:space="preserve"> Getting ready for the new event coming with Shimakaze.  For Souryuu Meta, I'm not the fastest grinding Opsi, so I'll have to get the numbers from the wiki.  It'll be a while probably.  Sometimes the numbers fluctuate after they add her too, I don't think it's a simple matter of datamining for the Meta ships.
</t>
    </r>
    <r>
      <rPr>
        <rFont val="Arial"/>
        <b/>
        <sz val="12.0"/>
      </rPr>
      <t>EDIT:</t>
    </r>
    <r>
      <rPr>
        <rFont val="Arial"/>
        <sz val="12.0"/>
      </rPr>
      <t xml:space="preserve">  Apparently there are plans to increase the lvl cap to 125 soon.  FML that's gunna be a lot of work.</t>
    </r>
    <r>
      <rPr>
        <rFont val="Arial"/>
        <b/>
        <sz val="12.0"/>
      </rPr>
      <t xml:space="preserve">
08/21/2021:</t>
    </r>
    <r>
      <rPr>
        <rFont val="Arial"/>
        <sz val="12.0"/>
      </rPr>
      <t xml:space="preserve">  </t>
    </r>
    <r>
      <rPr>
        <rFont val="Arial"/>
        <i/>
        <sz val="12.0"/>
      </rPr>
      <t xml:space="preserve">Should </t>
    </r>
    <r>
      <rPr>
        <rFont val="Arial"/>
        <sz val="12.0"/>
      </rPr>
      <t>have all the ships done now.  There was a lot added so I won't list them here, but we're all caught up, Ingraham and Nautilus included.</t>
    </r>
    <r>
      <rPr>
        <rFont val="Arial"/>
        <b/>
        <sz val="12.0"/>
      </rPr>
      <t xml:space="preserve">
08/20/2021:</t>
    </r>
    <r>
      <rPr>
        <rFont val="Arial"/>
        <sz val="12.0"/>
      </rPr>
      <t xml:space="preserve">  All the ships have been added with stats and put in their categories, but only DDs, CLs, and CAs have their skills and such listed.  Will finish on the rest of the ships tomorrow.</t>
    </r>
    <r>
      <rPr>
        <rFont val="Arial"/>
        <b/>
        <sz val="12.0"/>
      </rPr>
      <t xml:space="preserve">
08/19/2021:</t>
    </r>
    <r>
      <rPr>
        <rFont val="Arial"/>
        <sz val="12.0"/>
      </rPr>
      <t xml:space="preserve">  Will be working to update the spreadsheet over the next few days.
</t>
    </r>
    <r>
      <rPr>
        <rFont val="Arial"/>
        <b/>
        <sz val="12.0"/>
      </rPr>
      <t>Update:</t>
    </r>
    <r>
      <rPr>
        <rFont val="Arial"/>
        <sz val="12.0"/>
      </rPr>
      <t xml:space="preserve">  Updated weapons, aircraft, and gear, will work on ships starting tomorrow morning.  Let me know if I missed any gear, got a bit of a backlog to work through so I might've missed an item or two.</t>
    </r>
    <r>
      <rPr>
        <rFont val="Arial"/>
        <b/>
        <sz val="12.0"/>
      </rPr>
      <t xml:space="preserve">
03/22/2021:</t>
    </r>
    <r>
      <rPr>
        <rFont val="Arial"/>
        <sz val="12.0"/>
      </rPr>
      <t xml:space="preserve">  It's been a while.  I've added all the ships, along with their stats and skills, since I last updated.  I'll be adding the few pieces of new gear as well in a bit.
 - SN BB Sovetskaya Bellorussiya
 - SN CA Tallinn
 - SN CL Kirov
 - SN CL Murmansk
 - SN CL Pamiat Merkuria (R)
 - SN DD Stremitelny
 - SN DD Gremyashchy
 - SN DD Gromky
 - ROC CL Ying Swei
 - ROC CL Chao Ho
 - Ashes CV Ark Royal META</t>
    </r>
    <r>
      <rPr>
        <rFont val="Arial"/>
        <b/>
        <sz val="12.0"/>
      </rPr>
      <t xml:space="preserve">
01/22/2021:</t>
    </r>
    <r>
      <rPr>
        <rFont val="Arial"/>
        <sz val="12.0"/>
      </rPr>
      <t xml:space="preserve">  Added stats and skill for the 2 new ships from the rerun of Empyreal Tragecomedy:
 - RN CA Pola
 - RN DD Vincenzo Gioberti</t>
    </r>
    <r>
      <rPr>
        <rFont val="Arial"/>
        <b/>
        <sz val="12.0"/>
      </rPr>
      <t xml:space="preserve">
01/20/2021:</t>
    </r>
    <r>
      <rPr>
        <rFont val="Arial"/>
        <sz val="12.0"/>
      </rPr>
      <t xml:space="preserve">  Updated Hiryuu META's stats and removed the temporary stats note on her.</t>
    </r>
    <r>
      <rPr>
        <rFont val="Arial"/>
        <b/>
        <sz val="12.0"/>
      </rPr>
      <t xml:space="preserve">
01/18/2021:</t>
    </r>
    <r>
      <rPr>
        <rFont val="Arial"/>
        <sz val="12.0"/>
      </rPr>
      <t xml:space="preserve">  Finished adding and updating the new torpedoes (Both normal and sub types) and AA guns.  I've added all the aircraft, but I'm not sure I want another duplicate tab for aircraft after +10 like I did for weapons.  I'll try to figure out a solution later, along with finally catching up on the Aux Gear tab (And maybe the ASW tab).</t>
    </r>
    <r>
      <rPr>
        <rFont val="Arial"/>
        <b/>
        <sz val="12.0"/>
      </rPr>
      <t xml:space="preserve">
01/17/2021:</t>
    </r>
    <r>
      <rPr>
        <rFont val="Arial"/>
        <sz val="12.0"/>
      </rPr>
      <t xml:space="preserve">  Made a new weapons tab for weapons that go beyond +6 or +10 using the new parts from the Operation Siren update.  DD, CL, CA, and BB weapons are done.  I'll get to the torpedoes and the other gear soon.
I was going to just update the tabs I already have at first, but the gap between weapons would only grow and it'd be difficult for newer players to get a sense of how weapons from varying rarity types stack up against each other when the gap gets so large between +11 and +13.
I may come up with a better method for the Aux Gear and AA tabs, but we'll see.</t>
    </r>
    <r>
      <rPr>
        <rFont val="Arial"/>
        <b/>
        <sz val="12.0"/>
      </rPr>
      <t xml:space="preserve">
12/29/2020:</t>
    </r>
    <r>
      <rPr>
        <rFont val="Arial"/>
        <sz val="12.0"/>
      </rPr>
      <t xml:space="preserve">  Added the Inverted Orthant ships.  Gear from Operation Siren is still trickling in.</t>
    </r>
    <r>
      <rPr>
        <rFont val="Arial"/>
        <b/>
        <sz val="12.0"/>
      </rPr>
      <t xml:space="preserve">
12/25/2020:</t>
    </r>
    <r>
      <rPr>
        <rFont val="Arial"/>
        <sz val="12.0"/>
      </rPr>
      <t xml:space="preserve">  Merry Christmas!  Gear is still being added over time, I'll add another notice here when I'm done, though honestly I'll probably be done with Inverted Orthant's event additions before I'm done with all the new gear.</t>
    </r>
    <r>
      <rPr>
        <rFont val="Arial"/>
        <b/>
        <sz val="12.0"/>
      </rPr>
      <t xml:space="preserve">
12/22/2020:</t>
    </r>
    <r>
      <rPr>
        <rFont val="Arial"/>
        <sz val="12.0"/>
      </rPr>
      <t xml:space="preserve">  Working on adding Operation Siren stuff now
</t>
    </r>
    <r>
      <rPr>
        <rFont val="Arial"/>
        <b/>
        <sz val="12.0"/>
      </rPr>
      <t>Edit1:</t>
    </r>
    <r>
      <rPr>
        <rFont val="Arial"/>
        <sz val="12.0"/>
      </rPr>
      <t xml:space="preserve">  I've updated skill descriptions and stat changes for existing ships, and I've added an entry for Hiryuu META in the masterlist, but it's not representative of her potential, I think, so I'm leaving her there for the moment while I figure this update out.  I've started adding most of the new gear, but I need to play the update, so I'll be doing that and I'll update the gear and weapon lists when they're up on the wiki.</t>
    </r>
    <r>
      <rPr>
        <rFont val="Arial"/>
        <b/>
        <sz val="12.0"/>
      </rPr>
      <t xml:space="preserve">
12/14/2020:</t>
    </r>
    <r>
      <rPr>
        <rFont val="Arial"/>
        <sz val="12.0"/>
      </rPr>
      <t xml:space="preserve">  Been busy.  Finally got around to adding the Venus Vacation ships, stats, and skills.  Will add the gear and such later.
Edit: I had time so I got the aux gear all caught up.</t>
    </r>
    <r>
      <rPr>
        <rFont val="Arial"/>
        <b/>
        <sz val="12.0"/>
      </rPr>
      <t xml:space="preserve">
10/29/2020:</t>
    </r>
    <r>
      <rPr>
        <rFont val="Arial"/>
        <sz val="12.0"/>
      </rPr>
      <t xml:space="preserve">  Added stats and skills for the new ships.  I've also included USS CVL Princeton on the spreadsheet.  I didn't realize that she had already come out in Japan.  Unfortunately, I already deleted the 'local' column, so just know for now that she's not in the English version of the game yet.</t>
    </r>
    <r>
      <rPr>
        <rFont val="Arial"/>
        <b/>
        <sz val="12.0"/>
      </rPr>
      <t xml:space="preserve">
10/28/2020:</t>
    </r>
    <r>
      <rPr>
        <rFont val="Arial"/>
        <sz val="12.0"/>
      </rPr>
      <t xml:space="preserve">  Added entries for the following ships coming in the next update:
 - IJN CV Taihou µ
 - HMS CV Illustrious µ
 - KMS CA Roon µ
 - USS CA Baltimore µ
 - HMS CL Dido µ
 - SN DD Tashkent µ
 - MNF Le Malin µ
 - USS SS Albacore µ
Dunno why, but it seems like Baltimore µ and Albacore µ are Elite instead of Super Rare for some reason.
Finally removed the 'Local" column.  Doesn't seem to be needed anymore.</t>
    </r>
    <r>
      <rPr>
        <rFont val="Arial"/>
        <b/>
        <sz val="12.0"/>
      </rPr>
      <t xml:space="preserve">
10/07/2020:</t>
    </r>
    <r>
      <rPr>
        <rFont val="Arial"/>
        <sz val="12.0"/>
      </rPr>
      <t xml:space="preserve">  Got around to adding stats and skills to Ariake (R).  Nothing new or interesting there.</t>
    </r>
    <r>
      <rPr>
        <rFont val="Arial"/>
        <b/>
        <sz val="12.0"/>
      </rPr>
      <t xml:space="preserve">
09/29/2020:</t>
    </r>
    <r>
      <rPr>
        <rFont val="Arial"/>
        <sz val="12.0"/>
      </rPr>
      <t xml:space="preserve">  Added entry for Ariake Retrofit, and changed the local column for HMS DD Eskimo.  Once the update hits I can finally remove the "local" column, or at least hide it.</t>
    </r>
    <r>
      <rPr>
        <rFont val="Arial"/>
        <b/>
        <sz val="12.0"/>
      </rPr>
      <t xml:space="preserve">
09/19/2020:</t>
    </r>
    <r>
      <rPr>
        <rFont val="Arial"/>
        <sz val="12.0"/>
      </rPr>
      <t xml:space="preserve">  Updated skill descriptions for the four ships that had ASW-related skills, Chaser, Koln, Cooper, and Odin.  Changed and updated most of the ASW gear too, though there may be further changes needed.</t>
    </r>
    <r>
      <rPr>
        <rFont val="Arial"/>
        <b/>
        <sz val="12.0"/>
      </rPr>
      <t xml:space="preserve">
09/17/2020:</t>
    </r>
    <r>
      <rPr>
        <rFont val="Arial"/>
        <sz val="12.0"/>
      </rPr>
      <t xml:space="preserve">  I've added the new ships' stats and skills;
 - IJN CV Shinano
 - IJN BB Kii
 - IJN CVL Chitose
 - IJN CVL Chiyoda
 - IJN CA Kumano
 - IJN AE Kashino
 - Specialized Bulin MKIII
I've made a new tab for the repair and munition ships.  I'm not really happy with it, but it'll do for now.
I've also updated Kitakaze's ASW stat.
I'll add the new aux gear when I get info on them or get them myself.</t>
    </r>
    <r>
      <rPr>
        <rFont val="Arial"/>
        <b/>
        <sz val="12.0"/>
      </rPr>
      <t xml:space="preserve">
09/09/2020:</t>
    </r>
    <r>
      <rPr>
        <rFont val="Arial"/>
        <sz val="12.0"/>
      </rPr>
      <t xml:space="preserve">  Updated local columns for Z2, Hardy, and Hunter.  It's late, but nothing's changed other than the fact they were finally released.</t>
    </r>
    <r>
      <rPr>
        <rFont val="Arial"/>
        <b/>
        <sz val="12.0"/>
      </rPr>
      <t xml:space="preserve">
08/20/2020:</t>
    </r>
    <r>
      <rPr>
        <rFont val="Arial"/>
        <sz val="12.0"/>
      </rPr>
      <t xml:space="preserve">  Added stats and skill for Z26 and U-96 and put them in their appropraite tabs.  Don't have U-96's Oxygen stat yet but I'll update it when I know.
</t>
    </r>
    <r>
      <rPr>
        <rFont val="Arial"/>
        <b/>
        <sz val="12.0"/>
      </rPr>
      <t xml:space="preserve">
08/19/2020:</t>
    </r>
    <r>
      <rPr>
        <rFont val="Arial"/>
        <sz val="12.0"/>
      </rPr>
      <t xml:space="preserve">  Added entries for the 2 new ships coming in tomorrow's rerun of Scherzo of Iron and Blood:
 - KMS DD Z26 (Elite)
 - KMS SS U-96 (Super Rare)
No info on stats or skills yet.</t>
    </r>
    <r>
      <rPr>
        <rFont val="Arial"/>
        <b/>
        <sz val="12.0"/>
      </rPr>
      <t xml:space="preserve">
08/12/2020:</t>
    </r>
    <r>
      <rPr>
        <rFont val="Arial"/>
        <sz val="12.0"/>
      </rPr>
      <t xml:space="preserve">  Got around to updating skill names and descriptions for the new ships.  Have been busy recently, sorry for the delay.</t>
    </r>
    <r>
      <rPr>
        <rFont val="Arial"/>
        <b/>
        <sz val="12.0"/>
      </rPr>
      <t xml:space="preserve">
08/06/2020:</t>
    </r>
    <r>
      <rPr>
        <rFont val="Arial"/>
        <sz val="12.0"/>
      </rPr>
      <t xml:space="preserve">  Updated local column for the following ships to reflect changes in today's update:
 - HMS BB Howe
 - HMS BB Valiant
 - HMS CV Eagle
 - HMS CVL Perseus
 - HMS CL Hermione
 - HMS DD Icarus
Some skills still have temporary names.</t>
    </r>
    <r>
      <rPr>
        <rFont val="Arial"/>
        <b/>
        <sz val="12.0"/>
      </rPr>
      <t xml:space="preserve">
07/29/2020:</t>
    </r>
    <r>
      <rPr>
        <rFont val="Arial"/>
        <sz val="12.0"/>
      </rPr>
      <t xml:space="preserve">  Nothing major, tweaked some skill descriptions for the upcoming ships, and modified the color-coding on the ship classes to help tell them apart from each other.  For example, BBs, BCs, and BMs now have different colors so they're easier to pick out at a glance.</t>
    </r>
    <r>
      <rPr>
        <rFont val="Arial"/>
        <b/>
        <sz val="12.0"/>
      </rPr>
      <t xml:space="preserve">
07/25/2020:</t>
    </r>
    <r>
      <rPr>
        <rFont val="Arial"/>
        <sz val="12.0"/>
      </rPr>
      <t xml:space="preserve">  </t>
    </r>
    <r>
      <rPr>
        <rFont val="Arial"/>
        <b/>
        <sz val="12.0"/>
      </rPr>
      <t>(Part 2)</t>
    </r>
    <r>
      <rPr>
        <rFont val="Arial"/>
        <sz val="12.0"/>
      </rPr>
      <t xml:space="preserve">  Went ahead and added them to their individual tabs anyway, with temporary skill descriptions.  I may have misinterpreted the translations, so don't take these skill descriptions as completely accurate.</t>
    </r>
    <r>
      <rPr>
        <rFont val="Arial"/>
        <b/>
        <sz val="12.0"/>
      </rPr>
      <t xml:space="preserve">
07/25/2020:</t>
    </r>
    <r>
      <rPr>
        <rFont val="Arial"/>
        <sz val="12.0"/>
      </rPr>
      <t xml:space="preserve">  Finished adding stats to the new HMS ships.  Their skills aren't translated yet, and I don't have the confidence to parse Google Translate to get the skills correct, so they're going to stay in the Masterlist for now.  I've also added the new new gear pieces, the new fighter and the new Aux torpedo.</t>
    </r>
    <r>
      <rPr>
        <rFont val="Arial"/>
        <b/>
        <sz val="12.0"/>
      </rPr>
      <t xml:space="preserve">
07/24/2020:</t>
    </r>
    <r>
      <rPr>
        <rFont val="Arial"/>
        <sz val="12.0"/>
      </rPr>
      <t xml:space="preserve">  Added entries for the new ships coming with the next event.  Six new Royal Navy ships, I've only seen some stats for three of them so far, and I don't have their skill descriptions yet so they'll stay in the Masterlist for the time being.  </t>
    </r>
    <r>
      <rPr>
        <rFont val="Arial"/>
        <b/>
        <sz val="12.0"/>
      </rPr>
      <t xml:space="preserve">
07/18/2020:</t>
    </r>
    <r>
      <rPr>
        <rFont val="Arial"/>
        <sz val="12.0"/>
      </rPr>
      <t xml:space="preserve">  Updated skill descriptions for research ships that have Fate Simulation to show their improved skills.  Also double-checked them to make sure that those that do have Fate Simulation also have 15 Luck to reflect being fully upgraded.</t>
    </r>
    <r>
      <rPr>
        <rFont val="Arial"/>
        <b/>
        <sz val="12.0"/>
      </rPr>
      <t xml:space="preserve">
07/16/2020:</t>
    </r>
    <r>
      <rPr>
        <rFont val="Arial"/>
        <sz val="12.0"/>
      </rPr>
      <t xml:space="preserve">  Updated skill descriptions for Drake and Odin, and changed the local column for the following ships to reflect changes in today's update, the rerun of Ink-Stained Steel Sakura:
 - IJN CA Suzuya
 - IJN SSV I-13</t>
    </r>
    <r>
      <rPr>
        <rFont val="Arial"/>
        <b/>
        <sz val="12.0"/>
      </rPr>
      <t xml:space="preserve">
07/12/2020:</t>
    </r>
    <r>
      <rPr>
        <rFont val="Arial"/>
        <sz val="12.0"/>
      </rPr>
      <t xml:space="preserve">  New weapons have stats and DPS numbers added.</t>
    </r>
    <r>
      <rPr>
        <rFont val="Arial"/>
        <b/>
        <sz val="12.0"/>
      </rPr>
      <t xml:space="preserve">
07/11/2020:</t>
    </r>
    <r>
      <rPr>
        <rFont val="Arial"/>
        <sz val="12.0"/>
      </rPr>
      <t xml:space="preserve">  Added stats and skills for the 5 new research ships and put them in their respective tabs.  I'll be keeping an eye out for the new weapons added.  The new AA gun is already listed with its stats.</t>
    </r>
    <r>
      <rPr>
        <rFont val="Arial"/>
        <b/>
        <sz val="12.0"/>
      </rPr>
      <t xml:space="preserve">
07/08/2020:</t>
    </r>
    <r>
      <rPr>
        <rFont val="Arial"/>
        <sz val="12.0"/>
      </rPr>
      <t xml:space="preserve">  Added entries for the 5 new research ships coming in the next update, I don't have info on stats or skills yet though;
 - FFNF BB Champagne
 - KMS BC Odin
 - HMS CA Drake
 - HMS CA Cheshire
 - KMS CL Mainz
I'll keep an eye out and add their stats and skills as soon as I see them pop up and/or I get in game after the update and look up their skills there.  I'm not a data miner so I rely on the wiki for the stats though.  If you see 'em pop up before I do, feel free to poke me on Discord.
Also adjusted the acquisition column based on the patch notes.</t>
    </r>
    <r>
      <rPr>
        <rFont val="Arial"/>
        <b/>
        <sz val="12.0"/>
      </rPr>
      <t xml:space="preserve">
07/02/2020:</t>
    </r>
    <r>
      <rPr>
        <rFont val="Arial"/>
        <sz val="12.0"/>
      </rPr>
      <t xml:space="preserve">  Added Pressure-Resistant Hull Design core data item to the Aux Gear tab.</t>
    </r>
    <r>
      <rPr>
        <rFont val="Arial"/>
        <b/>
        <sz val="12.0"/>
      </rPr>
      <t xml:space="preserve">
06/23/2020:</t>
    </r>
    <r>
      <rPr>
        <rFont val="Arial"/>
        <sz val="12.0"/>
      </rPr>
      <t xml:space="preserve">  Updated Local column for the following ships to reflect changes in tonight's update:
 - USS CV Shangri-La
 - USS CVL Independence</t>
    </r>
    <r>
      <rPr>
        <rFont val="Arial"/>
        <b/>
        <sz val="12.0"/>
      </rPr>
      <t xml:space="preserve">
06/19/2020:</t>
    </r>
    <r>
      <rPr>
        <rFont val="Arial"/>
        <sz val="12.0"/>
      </rPr>
      <t xml:space="preserve">  Added HMS DD Eskimo and her stats and skills.  Skybound Oratorio CL guns are updated, Aircraft info still incomplete.</t>
    </r>
    <r>
      <rPr>
        <rFont val="Arial"/>
        <b/>
        <sz val="12.0"/>
      </rPr>
      <t xml:space="preserve">
06/12/2020:</t>
    </r>
    <r>
      <rPr>
        <rFont val="Arial"/>
        <sz val="12.0"/>
      </rPr>
      <t xml:space="preserve">  Added entries for what I'm assuming is 2 new CL guns (Only blue quality) and a Fighter and Torpedo Bomber (Also blues), but I don't have any stats or info on them yet, other than names.  Also added the new 138.6mm gun that uses the old icon the original 138.6mm used to use.</t>
    </r>
    <r>
      <rPr>
        <rFont val="Arial"/>
        <b/>
        <sz val="12.0"/>
      </rPr>
      <t xml:space="preserve">
06/11/2020:</t>
    </r>
    <r>
      <rPr>
        <rFont val="Arial"/>
        <sz val="12.0"/>
      </rPr>
      <t xml:space="preserve">  Updated skill names for the new ships and added the new CA weapon from the event shop.  The rest of the gear will be added tomorrow.  Probably.</t>
    </r>
    <r>
      <rPr>
        <rFont val="Arial"/>
        <b/>
        <sz val="12.0"/>
      </rPr>
      <t xml:space="preserve">
06/07/2020:</t>
    </r>
    <r>
      <rPr>
        <rFont val="Arial"/>
        <sz val="12.0"/>
      </rPr>
      <t xml:space="preserve">  Added Hatsushimo (R)'s stats and skills.  I've also added the Iris/Vichya ships coming in the upcoming "Skybound Oratorio" event to their corresponding tabs, but I don't have skill names yet, so they're left blank;
 - FFNF BB Richelieu
 - FFNF CV Béarn
 - FFNF CL Jeanne d'Arc
 - MNF CA Algérie
 - MNF CL La Galissonnière
 - MNF DD Vauquelin</t>
    </r>
    <r>
      <rPr>
        <rFont val="Arial"/>
        <b/>
        <sz val="12.0"/>
      </rPr>
      <t xml:space="preserve">
06/04/2020:</t>
    </r>
    <r>
      <rPr>
        <rFont val="Arial"/>
        <sz val="12.0"/>
      </rPr>
      <t xml:space="preserve">  Added USS Helena's retrofit stats and skills and moved her to the CL tab.  Working on getting the stats for Hatsushimo (R)</t>
    </r>
    <r>
      <rPr>
        <rFont val="Arial"/>
        <b/>
        <sz val="12.0"/>
      </rPr>
      <t xml:space="preserve">
05/29/2020:</t>
    </r>
    <r>
      <rPr>
        <rFont val="Arial"/>
        <sz val="12.0"/>
      </rPr>
      <t xml:space="preserve">  Added HMS CV Little Illustrious and her stats and skills.</t>
    </r>
    <r>
      <rPr>
        <rFont val="Arial"/>
        <b/>
        <sz val="12.0"/>
      </rPr>
      <t xml:space="preserve">
05/20/2020:</t>
    </r>
    <r>
      <rPr>
        <rFont val="Arial"/>
        <sz val="12.0"/>
      </rPr>
      <t xml:space="preserve">  Updated the local columns for the following ships to reflect changes in tomorrow's update and the Iris of Light and Dark Rerun:
 - FFNF DD L'Opiniâtre
 - MNF DD Le Malin</t>
    </r>
    <r>
      <rPr>
        <rFont val="Arial"/>
        <b/>
        <sz val="12.0"/>
      </rPr>
      <t xml:space="preserve">
05/19/2020:</t>
    </r>
    <r>
      <rPr>
        <rFont val="Arial"/>
        <sz val="12.0"/>
      </rPr>
      <t xml:space="preserve">  Updated HMS CL Swiftsure's Local column and the Acquisition columns for some of the Winter's Crown ships and other ships from the last update.  Adding the new upcoming Iris/Vichya ships (After the rerun coming later this week, there's another Iris event coming.  The rerun ships have been in the sheet for a long time.) as I get info on them, but they won't be in their class tabs until they're out, probably.</t>
    </r>
    <r>
      <rPr>
        <rFont val="Arial"/>
        <b/>
        <sz val="12.0"/>
      </rPr>
      <t xml:space="preserve">
05/09/2020:</t>
    </r>
    <r>
      <rPr>
        <rFont val="Arial"/>
        <sz val="12.0"/>
      </rPr>
      <t xml:space="preserve">  Fixed some incorrect oil costs, particularly on ships added in the past few months.  Most recently added ships (Starting at around the time of the Northern Parliament event) had one higher oil cost than they should've had.</t>
    </r>
    <r>
      <rPr>
        <rFont val="Arial"/>
        <b/>
        <sz val="12.0"/>
      </rPr>
      <t xml:space="preserve">
05/07/2020:</t>
    </r>
    <r>
      <rPr>
        <rFont val="Arial"/>
        <sz val="12.0"/>
      </rPr>
      <t xml:space="preserve">  Updated the icon for the Iris DD gun to match the new update, and added the new event ship along with stats and skills,
 - MNF DD Tartu
I've also changed all research ships' luck to 5, from 0, since you can get them to 5 luck from Fate Simulation.</t>
    </r>
    <r>
      <rPr>
        <rFont val="Arial"/>
        <b/>
        <sz val="12.0"/>
      </rPr>
      <t xml:space="preserve">
04/24/2020:</t>
    </r>
    <r>
      <rPr>
        <rFont val="Arial"/>
        <sz val="12.0"/>
      </rPr>
      <t xml:space="preserve">  Finished adding stats and skills to all the new ships and put them in their respective tabs.</t>
    </r>
    <r>
      <rPr>
        <rFont val="Arial"/>
        <b/>
        <sz val="12.0"/>
      </rPr>
      <t xml:space="preserve">
04/23/2020:</t>
    </r>
    <r>
      <rPr>
        <rFont val="Arial"/>
        <sz val="12.0"/>
      </rPr>
      <t xml:space="preserve">  Added skills and stats for Isuzu (R) and Tosa and copied them to the appropriate tabs.  I haven't built the two new DDs and I don't know Little Renown's lvl 120 stats yet, so they'll stay in the Masterlist for now.</t>
    </r>
    <r>
      <rPr>
        <rFont val="Arial"/>
        <b/>
        <sz val="12.0"/>
      </rPr>
      <t xml:space="preserve">
04/22/2020:</t>
    </r>
    <r>
      <rPr>
        <rFont val="Arial"/>
        <sz val="12.0"/>
      </rPr>
      <t xml:space="preserve">  Added entries for new ships coming in tomorrow's update:
 - IJN BB Tosa
 - IJN DD Naganami
 - IJN DD Hanazuki
 - HMS BC Little Renown
 - IJN CL Isuzu (Retrofit)
Also changed the Acquisition column for some older ships.</t>
    </r>
    <r>
      <rPr>
        <rFont val="Arial"/>
        <b/>
        <sz val="12.0"/>
      </rPr>
      <t xml:space="preserve">
04/16/2020:</t>
    </r>
    <r>
      <rPr>
        <rFont val="Arial"/>
        <sz val="12.0"/>
      </rPr>
      <t xml:space="preserve">  Updated acquisition column in Masterlist to reflect changes in today's update.</t>
    </r>
    <r>
      <rPr>
        <rFont val="Arial"/>
        <b/>
        <sz val="12.0"/>
      </rPr>
      <t xml:space="preserve">
03/27/2020:</t>
    </r>
    <r>
      <rPr>
        <rFont val="Arial"/>
        <sz val="12.0"/>
      </rPr>
      <t xml:space="preserve">  PBY-5A Catalina has stats now, was moved from ASW Gear to Aux Gear, was mistaken in its use, it's a scout plane instead of an ASW bomber.  TBM Avenger (VT-18) Torpedo bomber seems to finally dethrone the Barracuda in damage.</t>
    </r>
    <r>
      <rPr>
        <rFont val="Arial"/>
        <b/>
        <sz val="12.0"/>
      </rPr>
      <t xml:space="preserve">
03/26/2020:</t>
    </r>
    <r>
      <rPr>
        <rFont val="Arial"/>
        <sz val="12.0"/>
      </rPr>
      <t xml:space="preserve"> Added stats and skills for the new ships added today and placed them in the appropriate tabs.  Added entries for the new aircraft (Avenger VT-18) and the Catalina, but their stats aren't finished.</t>
    </r>
    <r>
      <rPr>
        <rFont val="Arial"/>
        <b/>
        <sz val="12.0"/>
      </rPr>
      <t xml:space="preserve">
03/25/2020:</t>
    </r>
    <r>
      <rPr>
        <rFont val="Arial"/>
        <sz val="12.0"/>
      </rPr>
      <t xml:space="preserve"> Added the following ships coming in tomorrow's update, without stats and skills for the moment:
 - USS CV Intrepid
 - USS CVL Casablanca
 - USS CA Bremerton
 - USS CL Reno
 - USS CL Marblehead
 - USS DD Cooper
 - USS SS Bluegill
Also added the two retrofits coming in tomorrow's update, and updated their local columns:
 - HMS DD Amazon (R)
 - IJN DD Hatsuharu (R)
</t>
    </r>
    <r>
      <rPr>
        <rFont val="Arial"/>
        <b/>
        <sz val="12.0"/>
      </rPr>
      <t xml:space="preserve">
03/13/2020:</t>
    </r>
    <r>
      <rPr>
        <rFont val="Arial"/>
        <sz val="12.0"/>
      </rPr>
      <t xml:space="preserve"> Updated the icon for one of the new Northern Parliament AA guns.  Forgot to update it when the patch fixed it.</t>
    </r>
    <r>
      <rPr>
        <rFont val="Arial"/>
        <b/>
        <sz val="12.0"/>
      </rPr>
      <t xml:space="preserve">
03/11/2020:</t>
    </r>
    <r>
      <rPr>
        <rFont val="Arial"/>
        <sz val="12.0"/>
      </rPr>
      <t xml:space="preserve">  Added stats and skills for HMS DD Amazon Retrofit.</t>
    </r>
    <r>
      <rPr>
        <rFont val="Arial"/>
        <b/>
        <sz val="12.0"/>
      </rPr>
      <t xml:space="preserve">
02/27/2020:</t>
    </r>
    <r>
      <rPr>
        <rFont val="Arial"/>
        <sz val="12.0"/>
      </rPr>
      <t xml:space="preserve">  Added stats and skills for the new ships, put them in their appropriate tabs, and added the new Weapons, AA guns, and Aux gear from the event.</t>
    </r>
    <r>
      <rPr>
        <rFont val="Arial"/>
        <b/>
        <sz val="12.0"/>
      </rPr>
      <t xml:space="preserve">
02/26/2020:</t>
    </r>
    <r>
      <rPr>
        <rFont val="Arial"/>
        <sz val="12.0"/>
      </rPr>
      <t xml:space="preserve">  Added the following ships to the spreadsheet to reflect changes in tomorrow's update and event, "Northern Overture."  No stats on the ships at the moment, will update again when they're finished, I'll update them as I get info for them.
 - SN BB Sovetskaya Rossiya
 - SN BB Gangut
 - SN CL Chapayev
 - SN CL Pamiat Merkuria
 - SN DD Tashkent
 - SN DD Grozny
 - SN DD Minsk</t>
    </r>
    <r>
      <rPr>
        <rFont val="Arial"/>
        <b/>
        <sz val="12.0"/>
      </rPr>
      <t xml:space="preserve">
02/19/2020:</t>
    </r>
    <r>
      <rPr>
        <rFont val="Arial"/>
        <sz val="12.0"/>
      </rPr>
      <t xml:space="preserve">  Changed the local column for the following ships to reflect changes in tomorrow's update:
 - IJN DD Shigure Retrofit
 - IJN DD Yuugure Retrofit</t>
    </r>
    <r>
      <rPr>
        <rFont val="Arial"/>
        <b/>
        <sz val="12.0"/>
      </rPr>
      <t xml:space="preserve">
02/12/2020:</t>
    </r>
    <r>
      <rPr>
        <rFont val="Arial"/>
        <sz val="12.0"/>
      </rPr>
      <t xml:space="preserve">  Changed the local column for the following ships to reflect changes in tomorrow's update and the "Passionate Polaris" event;
 - IJN CV Akagi (Muse)
 - MNF BB Gascogne (Muse)
 - KMS CA Admiral Hipper (Muse)
 - USS CL Cleveland (Muse)
 - HMS Sheffield (Muse)
</t>
    </r>
    <r>
      <rPr>
        <rFont val="Arial"/>
        <b/>
        <sz val="12.0"/>
      </rPr>
      <t xml:space="preserve">
02/05/2020:</t>
    </r>
    <r>
      <rPr>
        <rFont val="Arial"/>
        <sz val="12.0"/>
      </rPr>
      <t xml:space="preserve">  Changed acquisition for Southampton and Kiyonami to the Light Build Pool to reflect changes in tomorrow's update.  I don't have the build times yet, but I'll keep an eye out.</t>
    </r>
    <r>
      <rPr>
        <rFont val="Arial"/>
        <b/>
        <sz val="12.0"/>
      </rPr>
      <t xml:space="preserve">
01/24/2020:</t>
    </r>
    <r>
      <rPr>
        <rFont val="Arial"/>
        <sz val="12.0"/>
      </rPr>
      <t xml:space="preserve">  Added the new AA gun from the event that I thought was another DD gun.  Woops.</t>
    </r>
    <r>
      <rPr>
        <rFont val="Arial"/>
        <b/>
        <sz val="12.0"/>
      </rPr>
      <t xml:space="preserve">
01/23/2020:</t>
    </r>
    <r>
      <rPr>
        <rFont val="Arial"/>
        <sz val="12.0"/>
      </rPr>
      <t xml:space="preserve">  Updated stats and skills for the 5 new ships and placed them in the appropriate tabs.</t>
    </r>
    <r>
      <rPr>
        <rFont val="Arial"/>
        <b/>
        <sz val="12.0"/>
      </rPr>
      <t xml:space="preserve">
01/22/2020:</t>
    </r>
    <r>
      <rPr>
        <rFont val="Arial"/>
        <sz val="12.0"/>
      </rPr>
      <t xml:space="preserve">  Added the purple single 130mm DD gun to the weapons tab.  While I was at it, I made some changes and tweaks, I've added the wiki's "Raw DPS" column as well, and tried to arrange it in a way that shows how important ammo type is to the final damage output.  Also did a pass over the DPS numbers to make sure everything was up to date, and added a new column to seperate the distance a weapon will fire at a target, and the distance the shells will travel after being fired.  I also got this from the wiki.  I'll keep an eye out for the other DD gun from the event and add that when there's info for it.
Don't have the stats for the new ships yet either, but I'm keeping an eye out and will update once they're up on the wiki.</t>
    </r>
    <r>
      <rPr>
        <rFont val="Arial"/>
        <b/>
        <sz val="12.0"/>
      </rPr>
      <t xml:space="preserve">
01/20/2020:</t>
    </r>
    <r>
      <rPr>
        <rFont val="Arial"/>
        <sz val="12.0"/>
      </rPr>
      <t xml:space="preserve">  Changed local columns for the following ships to reflect changes in tomorrow's update:
 - HMS CL Newcastle (And her retrofit)
 - HMS CL Curlew (R)
 - HMS CL Curacoa (R)
 - IJN DD Nagatsuki
Also added entries to the Masterlist for new ships coming in tomorrow's update.  No stats or skills yet.
 - HMS CL Dido
 - HMS CL Gloucester
 - USS CL Biloxi
 - USS DD Halsey Powell
 - IJN DD Uranami</t>
    </r>
    <r>
      <rPr>
        <rFont val="Arial"/>
        <b/>
        <sz val="12.0"/>
      </rPr>
      <t xml:space="preserve">
01/14/2020:</t>
    </r>
    <r>
      <rPr>
        <rFont val="Arial"/>
        <sz val="12.0"/>
      </rPr>
      <t xml:space="preserve">  Did some cleanup and cosmetic stuff, fixed a few things, nothing major.  I've also changed the local columns for the ships coming on the 16th along with Chapter 13:
 - USS CV Bunker Hill (Chapter 13 boss-only drop)
 - USS DD Dewey (Another Chapter 13 drop)
 - HMS Hermes (R)
</t>
    </r>
    <r>
      <rPr>
        <rFont val="Arial"/>
        <b/>
        <sz val="12.0"/>
      </rPr>
      <t xml:space="preserve">
12/26/2019:</t>
    </r>
    <r>
      <rPr>
        <rFont val="Arial"/>
        <sz val="12.0"/>
      </rPr>
      <t xml:space="preserve">  Finished adding stats and skills to the new "Swirling Cherry Blossoms" event ships:
 - IJN BB Suruga
 - IJN CVL Ryuuhou
 - IJN CL Noshiro
 - IJN CL Kinu (And her retrofit)
 - IJN DD Hibiki
 - IJN DD Kasumi
Also changed local columns for:
 - IJN CL Yuubari (R)
 - IJN DD Kisaragi (R)
I've moved the Air Superiority column in the CV tab further to the right so I can copy entries from the Masterlist without having to adjust columns afterward.  The column stands out a little more now too.</t>
    </r>
    <r>
      <rPr>
        <rFont val="Arial"/>
        <b/>
        <sz val="12.0"/>
      </rPr>
      <t xml:space="preserve">
12/22/2019:</t>
    </r>
    <r>
      <rPr>
        <rFont val="Arial"/>
        <sz val="12.0"/>
      </rPr>
      <t xml:space="preserve">  Changed local column for IJN Asashio and fixed her missing skill in the DD tab.  Also removed a lot of "Not in EN yet" tags I put on some of the gear tabs for the gear that's been added with PR2.  I've also tried to clarify which season of research projects you need to take to get blueprints for which gear, but I might've missed some.  I've gone through and updated the PR2 ships' skill names to match the EN version now.
Also added entries for the ships being posted in the AL official Discord, won't have any information on them until they're out, though.</t>
    </r>
    <r>
      <rPr>
        <rFont val="Arial"/>
        <b/>
        <sz val="12.0"/>
      </rPr>
      <t xml:space="preserve">
12/18/2019:</t>
    </r>
    <r>
      <rPr>
        <rFont val="Arial"/>
        <sz val="12.0"/>
      </rPr>
      <t xml:space="preserve">  Changed the local column for the following ships to reflect changes in tomorrow's update, bringing in Season 2 Research;
 - KMS BB Friedrich Der Große
 - MNF BB Gascogne
 - USS BB Georgia
 - IJN CB Azuma
 - USS CL Seattle
 - IJN DD Kitakaze
There's also now a new "AirSup" (Air Supremacy) column in the CV tab.  It uses a formula kindly provided to me by @deceived on Discord.  Saved me a lot of trouble trying to figure out how to add it myself.  Thanks again!</t>
    </r>
    <r>
      <rPr>
        <rFont val="Arial"/>
        <b/>
        <sz val="12.0"/>
      </rPr>
      <t xml:space="preserve">
12/06/2019:</t>
    </r>
    <r>
      <rPr>
        <rFont val="Arial"/>
        <sz val="12.0"/>
      </rPr>
      <t xml:space="preserve">  All skills and, stats, and names are up to date now, and I've added the event gear to the Aux Gear tab as well.</t>
    </r>
    <r>
      <rPr>
        <rFont val="Arial"/>
        <b/>
        <sz val="12.0"/>
      </rPr>
      <t xml:space="preserve">
11/29/2019:</t>
    </r>
    <r>
      <rPr>
        <rFont val="Arial"/>
        <sz val="12.0"/>
      </rPr>
      <t xml:space="preserve">  Finally got around to adding the event ships to their appropriate tabs with their skills and stats.  Some skill names are unkown for me ATM, I will be revisiting them later.  I'll also double-check stats later, too.  It's hard for me to believe that Aqua's speed stat is 40 while all other SS's are in their 10's.  I'm having problems building the new ships, so I can't check the skillnames myself yet.  120 cubes in and only 2 of the new ships built...</t>
    </r>
    <r>
      <rPr>
        <rFont val="Arial"/>
        <b/>
        <sz val="12.0"/>
      </rPr>
      <t xml:space="preserve">
11/27/2019:</t>
    </r>
    <r>
      <rPr>
        <rFont val="Arial"/>
        <sz val="12.0"/>
      </rPr>
      <t xml:space="preserve">  Added the following ships to the Masterlist to reflect changes in today's update and the "Looking Glass of Fact and Fiction" event.  Still in the process of adding stats and skills, will update this changelog again when everything's up to standard.
 - DD Shirakami Fubuki
 - SS Minato Aqua
 - CV Tokino Sora
 - CV Ookami Mio
 - CVL Murasaki Shion
 - CA Nakiri Ayame
 - DD Natsuiro Matsuri</t>
    </r>
    <r>
      <rPr>
        <rFont val="Arial"/>
        <b/>
        <sz val="12.0"/>
      </rPr>
      <t xml:space="preserve">
11/21/2019:</t>
    </r>
    <r>
      <rPr>
        <rFont val="Arial"/>
        <sz val="12.0"/>
      </rPr>
      <t xml:space="preserve">  Changed local column for HMS BB Warspite (R) to reflect changes in tomorrow's update.  HMS CL Glasgow's also been added to the spreadsheet a week ago, I just forgot to update the changelog.</t>
    </r>
    <r>
      <rPr>
        <rFont val="Arial"/>
        <b/>
        <sz val="12.0"/>
      </rPr>
      <t xml:space="preserve">
11/12/2019:</t>
    </r>
    <r>
      <rPr>
        <rFont val="Arial"/>
        <sz val="12.0"/>
      </rPr>
      <t xml:space="preserve">  Added the "Crescendo of Polaris" event ships to the spreadsheet and put them in the appropriate tabs.  I held off on adding them because I wasn't sure they'd be coming to AL Global, but they've said we're getting it early next year, so I finally added them:
 - IJN CV Akagi (Muse)
 - MNF BB Gascoigne (Muse)
 - KMS CA Admiral Hipper (Muse)
 - USS CL Cleveland (Muse)
 - HMS CL Sheffield (Muse)
</t>
    </r>
    <r>
      <rPr>
        <rFont val="Arial"/>
        <b/>
        <sz val="12.0"/>
      </rPr>
      <t xml:space="preserve">
11/08/2019:</t>
    </r>
    <r>
      <rPr>
        <rFont val="Arial"/>
        <sz val="12.0"/>
      </rPr>
      <t xml:space="preserve">  Added Shigure (R) and Yuugure (R) to the spreadsheet.  They slipped under my radar somehow, but they're in the spreadsheet now and in their appropriate tabs.</t>
    </r>
    <r>
      <rPr>
        <rFont val="Arial"/>
        <b/>
        <sz val="12.0"/>
      </rPr>
      <t xml:space="preserve">
10/30/2019:</t>
    </r>
    <r>
      <rPr>
        <rFont val="Arial"/>
        <sz val="12.0"/>
      </rPr>
      <t xml:space="preserve">  I forgot a ship, changed local column for;
 - USS CL Memphis</t>
    </r>
    <r>
      <rPr>
        <rFont val="Arial"/>
        <b/>
        <sz val="12.0"/>
      </rPr>
      <t xml:space="preserve">
10/29/2019:</t>
    </r>
    <r>
      <rPr>
        <rFont val="Arial"/>
        <sz val="12.0"/>
      </rPr>
      <t xml:space="preserve">  Changed local columns for the following ships to reflect changes in the upcoming update and the rerun of the Divergent Chessboard event:
 - KMS CL Leipzig (R)
 - KMS DD Z1 (R)
 - KMS SS U-47
 - KMS SS U-557
Also finally remembered to update USS Smalley.</t>
    </r>
    <r>
      <rPr>
        <rFont val="Arial"/>
        <b/>
        <sz val="12.0"/>
      </rPr>
      <t xml:space="preserve">
10/22/2019:</t>
    </r>
    <r>
      <rPr>
        <rFont val="Arial"/>
        <sz val="12.0"/>
      </rPr>
      <t xml:space="preserve">  Added two new ships coming in tomorrow's update.
 - USS DD Smalley (Still in masterlist only, no stats/skills yet)
 - KMS SS U-110</t>
    </r>
    <r>
      <rPr>
        <rFont val="Arial"/>
        <b/>
        <sz val="12.0"/>
      </rPr>
      <t xml:space="preserve">
10/16/2019:</t>
    </r>
    <r>
      <rPr>
        <rFont val="Arial"/>
        <sz val="12.0"/>
      </rPr>
      <t xml:space="preserve">  Changed local columns for the following ships to reflect changes in tomorrow's update and the "Return of the War God" Event;
 - IJN BB Mikasa
 - IJN BC Hiei
 - IJN DD Kuroshio
 - IJN DD Oyashio
 - IJN DD Hamakaze (And her retrofit)</t>
    </r>
    <r>
      <rPr>
        <rFont val="Arial"/>
        <b/>
        <sz val="12.0"/>
      </rPr>
      <t xml:space="preserve">
10/06/2019:  </t>
    </r>
    <r>
      <rPr>
        <rFont val="Arial"/>
        <sz val="12.0"/>
      </rPr>
      <t>Updated Aux and ASW Gear tabs.</t>
    </r>
    <r>
      <rPr>
        <rFont val="Arial"/>
        <b/>
        <sz val="12.0"/>
      </rPr>
      <t xml:space="preserve">
10/04/2019:</t>
    </r>
    <r>
      <rPr>
        <rFont val="Arial"/>
        <sz val="12.0"/>
      </rPr>
      <t xml:space="preserve">  Updated the Aircraft and AA tabs the same way I did the Weapons tab yesterday.</t>
    </r>
    <r>
      <rPr>
        <rFont val="Arial"/>
        <b/>
        <sz val="12.0"/>
      </rPr>
      <t xml:space="preserve">
10/03/2019:</t>
    </r>
    <r>
      <rPr>
        <rFont val="Arial"/>
        <sz val="12.0"/>
      </rPr>
      <t xml:space="preserve">  After receiving feedback a couple of times that some images don't load, I've changed how the images are loaded in the Weapons tab.  Instead of downloading the image from the wiki every time you look at the spreadsheet, I've downloaded the images and then uploaded them to the spreadsheet itself, so the images should load much more consistently.  I've also linked the individual weapon pages on the wiki to the weapon names, just like in the ship tabs.  This should be a good workaround if the images still aren't loading.  Some weapons even have previews on how they fire, so if my explanations are confusing, that should help.
I'll be updating the other tabs over the next few days.  It's not a difficult process, but it is a little time consuming.</t>
    </r>
    <r>
      <rPr>
        <rFont val="Arial"/>
        <b/>
        <sz val="12.0"/>
      </rPr>
      <t xml:space="preserve">
09/29/2019:</t>
    </r>
    <r>
      <rPr>
        <rFont val="Arial"/>
        <sz val="12.0"/>
      </rPr>
      <t xml:space="preserve">  Added VC and VH armor from the Crosswave event to the Aux Gear tab.</t>
    </r>
    <r>
      <rPr>
        <rFont val="Arial"/>
        <b/>
        <sz val="12.0"/>
      </rPr>
      <t xml:space="preserve">
09/25/2019:</t>
    </r>
    <r>
      <rPr>
        <rFont val="Arial"/>
        <sz val="12.0"/>
      </rPr>
      <t xml:space="preserve">  Changed local column for the following ships to reflect tomorrow's update:
 - IJN CV Souryuu (R)
 - IJN CV Hiryuu (R)
 - HMS DD Jersey
Added War Archives as another way to get the following ships in their notes column:
 - IJN CV Shoukaku
 - IJN CV Zuikaku
 - IJN BB Hyuuga
 - IJN BB Ise
 - IJN DD Yukikaze
 - IJN DD Nowaki
Also finally got around to adding Kiyonami's stats and skills, I forgot about her, sorry about that.
</t>
    </r>
    <r>
      <rPr>
        <rFont val="Arial"/>
        <b/>
        <sz val="12.0"/>
      </rPr>
      <t xml:space="preserve">
09/12/2019:</t>
    </r>
    <r>
      <rPr>
        <rFont val="Arial"/>
        <sz val="12.0"/>
      </rPr>
      <t xml:space="preserve">  Finished adding stats and skills for the new ships:
 - HMS CV Formidable
 - RN BB Littorio
 - RN BB Giulio Cesare
 - RN BB Conte di Cavour
 - RN CA Zara
 - RN CA Trento
 - RN DD Carabiniere</t>
    </r>
    <r>
      <rPr>
        <rFont val="Arial"/>
        <b/>
        <sz val="12.0"/>
      </rPr>
      <t xml:space="preserve">
09/11/2019:</t>
    </r>
    <r>
      <rPr>
        <rFont val="Arial"/>
        <sz val="12.0"/>
      </rPr>
      <t xml:space="preserve">  Added new Weapons, Aircraft, and AA guns rolled out with this update to the appropriate tabs.  Most stats are done for the new ships, and skills will come later.  Will update again when they're done.</t>
    </r>
    <r>
      <rPr>
        <rFont val="Arial"/>
        <b/>
        <sz val="12.0"/>
      </rPr>
      <t xml:space="preserve">
09/10/2019:</t>
    </r>
    <r>
      <rPr>
        <rFont val="Arial"/>
        <sz val="12.0"/>
      </rPr>
      <t xml:space="preserve">  Changed local column for York (R).  Added the ships being added in tomorrow's update to the masterlist.  No stats on any of them yet, though.</t>
    </r>
    <r>
      <rPr>
        <rFont val="Arial"/>
        <b/>
        <sz val="12.0"/>
      </rPr>
      <t xml:space="preserve">
09/05/2019:</t>
    </r>
    <r>
      <rPr>
        <rFont val="Arial"/>
        <sz val="12.0"/>
      </rPr>
      <t xml:space="preserve">  Added USS DD Stanly.</t>
    </r>
    <r>
      <rPr>
        <rFont val="Arial"/>
        <b/>
        <sz val="12.0"/>
      </rPr>
      <t xml:space="preserve">
08/29/2019:</t>
    </r>
    <r>
      <rPr>
        <rFont val="Arial"/>
        <sz val="12.0"/>
      </rPr>
      <t xml:space="preserve">  Stats and skills added for HMS Black Prince and USS Bache, placed in appropriate tabs.</t>
    </r>
    <r>
      <rPr>
        <rFont val="Arial"/>
        <b/>
        <sz val="12.0"/>
      </rPr>
      <t xml:space="preserve">
08/28/2019:</t>
    </r>
    <r>
      <rPr>
        <rFont val="Arial"/>
        <sz val="12.0"/>
      </rPr>
      <t xml:space="preserve">  Changed San Diego retrofit's local column to reflect her addition in tomorrow's update, Episode 4 of the Anniversary event chain.  Added blank entries to the Masterlist for the following ships:
 - HMS CL Black Prince (Dido-class)
 - IJN DD Kiyonami (Yuugumo-class)
 - USS DD Bache (Fletcher-class)</t>
    </r>
    <r>
      <rPr>
        <rFont val="Arial"/>
        <b/>
        <sz val="12.0"/>
      </rPr>
      <t xml:space="preserve">
08/23/2019:</t>
    </r>
    <r>
      <rPr>
        <rFont val="Arial"/>
        <sz val="12.0"/>
      </rPr>
      <t xml:space="preserve">  There's a Meowfficer (I'll never get used to typing that) tab on the sheet now.  It's been done for a few days, but I just got around to updating the terminology to match the game (Logistics stat instead of Support stat, for example).  I'm looking into adding the abilities to the spreadsheet somehow, but I'm not sure how that'll work yet or if it's even worth it to add to the spreadsheet.</t>
    </r>
    <r>
      <rPr>
        <rFont val="Arial"/>
        <b/>
        <sz val="12.0"/>
      </rPr>
      <t xml:space="preserve">
08/21/2019:</t>
    </r>
    <r>
      <rPr>
        <rFont val="Arial"/>
        <sz val="12.0"/>
      </rPr>
      <t xml:space="preserve">  Changed local columns for the following ships to reflect changes in tomorrow's update, Episode 3 of the Anniversary event chain:
 - HMS CA Exeter (R)
 - HMS CL Achilles (R)
Meowfficers are coming tomorrow as well, I'll work on including them in the spreadsheet.  It may take me a few days, Meowfficers aren't as simple as just items or weapons and include a lot of unique stats and effects.  As usual, I'll try my best to make them easy to read, understand, and compare.  It's a pretty complex system, so hopefully it won't be too sloppy.</t>
    </r>
    <r>
      <rPr>
        <rFont val="Arial"/>
        <b/>
        <sz val="12.0"/>
      </rPr>
      <t xml:space="preserve">
08/14/2019:</t>
    </r>
    <r>
      <rPr>
        <rFont val="Arial"/>
        <sz val="12.0"/>
      </rPr>
      <t xml:space="preserve">  Changed local columns for the following ships to reflect changes in tomorrow's update, Episode 2 of the Anniversary event chain:
 - USS CV Essex
 - IJN CV Taihou
 - FFNF DD Le Temeraire
 - USS SS Albacore
 - IJN CL Yuubari</t>
    </r>
    <r>
      <rPr>
        <rFont val="Arial"/>
        <b/>
        <sz val="12.0"/>
      </rPr>
      <t xml:space="preserve">
08/09/2019:</t>
    </r>
    <r>
      <rPr>
        <rFont val="Arial"/>
        <sz val="12.0"/>
      </rPr>
      <t xml:space="preserve">  Reworked Aux Gear page.  You can now sort by stats to make it easier to find what you're looking for.  It's not as simple or clean as it was before, but I feel this is in an improvement overall.  ASW gear was moved to the ASW Gear tab.</t>
    </r>
    <r>
      <rPr>
        <rFont val="Arial"/>
        <b/>
        <sz val="12.0"/>
      </rPr>
      <t xml:space="preserve">
08/06/2019:</t>
    </r>
    <r>
      <rPr>
        <rFont val="Arial"/>
        <sz val="12.0"/>
      </rPr>
      <t xml:space="preserve">  Changed HMS DD Jupiter's local column from "No" to "Yes" to reflect tomorrow's update.</t>
    </r>
    <r>
      <rPr>
        <rFont val="Arial"/>
        <b/>
        <sz val="12.0"/>
      </rPr>
      <t xml:space="preserve">
08/04/2019:</t>
    </r>
    <r>
      <rPr>
        <rFont val="Arial"/>
        <sz val="12.0"/>
      </rPr>
      <t xml:space="preserve">  I went through the ships I have in-game (I'm currently at 79.7% completion, so I'm missing quite a few) and changed a lot of the skill names on the spreadsheet to match the game.  The skill names on the Wiki differ a lot sometimes, so I attempted to cut down on the differences.  I left a few the same as the wiki for personal tastes and/or to fit them in the skill columns, but they're the same for the most part.
Also fixed some incorrect skill descriptions, mostly between "Burn Order", "Arsonist", and some of the other HE effect skills.  When I originally made this spreadsheet I didn't realize there was a difference between the first two, so they ended up being copy+pasted to everyone that had an HE shelling skill.</t>
    </r>
    <r>
      <rPr>
        <rFont val="Arial"/>
        <b/>
        <sz val="12.0"/>
      </rPr>
      <t xml:space="preserve">
07/31/2019:</t>
    </r>
    <r>
      <rPr>
        <rFont val="Arial"/>
        <sz val="12.0"/>
      </rPr>
      <t xml:space="preserve">  Stats and skills have been added for new event ships released today.  Changed Sims (R) local column to reflect her addition in today's update.</t>
    </r>
    <r>
      <rPr>
        <rFont val="Arial"/>
        <b/>
        <sz val="12.0"/>
      </rPr>
      <t xml:space="preserve">
07/29/2019: </t>
    </r>
    <r>
      <rPr>
        <rFont val="Arial"/>
        <sz val="12.0"/>
      </rPr>
      <t xml:space="preserve"> Added the NY City Coast Recon Report item to the Aux Gear tab.</t>
    </r>
    <r>
      <rPr>
        <rFont val="Arial"/>
        <b/>
        <sz val="12.0"/>
      </rPr>
      <t xml:space="preserve">
07/27/2019:</t>
    </r>
    <r>
      <rPr>
        <rFont val="Arial"/>
        <sz val="12.0"/>
      </rPr>
      <t xml:space="preserve">  Added entries to the Masterlist for the new ships announced for the next update.  No stats or info on any of them yet, they're listed for future convenience.
 - USS BB Alabama
 - USS CVL Bataan
 - USS CA Baltimore
 - USS CL Birmingham
 - USS CL San Juan
 - USS DD Aylwin
 - USS SS Cavalla
I've removed unreleased ships from the ship type tabs, but kept them in the masterlist.  Didn't like getting ships with a bunch of question marks when I sorted by a stat.  They'll stay in the masterlist tab until they're added to the game.</t>
    </r>
    <r>
      <rPr>
        <rFont val="Arial"/>
        <b/>
        <sz val="12.0"/>
      </rPr>
      <t xml:space="preserve">
07/25/2019:</t>
    </r>
    <r>
      <rPr>
        <rFont val="Arial"/>
        <sz val="12.0"/>
      </rPr>
      <t xml:space="preserve">  Updated the Aircraft tab to match new numbers on the wiki, added a few planes that have been added since I made the tab, and added two new columns for plane evasion and crash damage.</t>
    </r>
    <r>
      <rPr>
        <rFont val="Arial"/>
        <b/>
        <sz val="12.0"/>
      </rPr>
      <t xml:space="preserve">
07/24/2019:</t>
    </r>
    <r>
      <rPr>
        <rFont val="Arial"/>
        <sz val="12.0"/>
      </rPr>
      <t xml:space="preserve">  Changed local column for HMS CVL Centaur.</t>
    </r>
    <r>
      <rPr>
        <rFont val="Arial"/>
        <b/>
        <sz val="12.0"/>
      </rPr>
      <t xml:space="preserve">
07/17/2019:</t>
    </r>
    <r>
      <rPr>
        <rFont val="Arial"/>
        <sz val="12.0"/>
      </rPr>
      <t xml:space="preserve">  Added HMS CA London Retrofit</t>
    </r>
    <r>
      <rPr>
        <rFont val="Arial"/>
        <b/>
        <sz val="12.0"/>
      </rPr>
      <t xml:space="preserve">
07/12/2019:</t>
    </r>
    <r>
      <rPr>
        <rFont val="Arial"/>
        <sz val="12.0"/>
      </rPr>
      <t xml:space="preserve">  Added stats for the following ships and put them in their corresponding tabs;
 - IJN SS I-25
 - IJN SS I-56
 - IJN SS I-168
 - KMS SS U-101
 - KMS SS U-522</t>
    </r>
    <r>
      <rPr>
        <rFont val="Arial"/>
        <b/>
        <sz val="12.0"/>
      </rPr>
      <t xml:space="preserve">
07/10/2019:</t>
    </r>
    <r>
      <rPr>
        <rFont val="Arial"/>
        <sz val="12.0"/>
      </rPr>
      <t xml:space="preserve">  Changed local column to reflect changes in tomorrow's update.
 - IJN DD Kagerou (R)
 - No information on them yet, but I've added entries for the 5 new subs.</t>
    </r>
    <r>
      <rPr>
        <rFont val="Arial"/>
        <b/>
        <sz val="12.0"/>
      </rPr>
      <t xml:space="preserve">
07/06/2019:</t>
    </r>
    <r>
      <rPr>
        <rFont val="Arial"/>
        <sz val="12.0"/>
      </rPr>
      <t xml:space="preserve">  Changed USS Nicholas (R) to "Yes" in the local column a few days ago, but forgot to update the changelog.</t>
    </r>
    <r>
      <rPr>
        <rFont val="Arial"/>
        <b/>
        <sz val="12.0"/>
      </rPr>
      <t xml:space="preserve">
06/28/2019: </t>
    </r>
    <r>
      <rPr>
        <rFont val="Arial"/>
        <sz val="12.0"/>
      </rPr>
      <t xml:space="preserve"> Added two ships added to Iris even rerun, not in the EN version.
 - MNF DD Le Malin
 - FFNF DD L'Opiniatre</t>
    </r>
    <r>
      <rPr>
        <rFont val="Arial"/>
        <b/>
        <sz val="12.0"/>
      </rPr>
      <t xml:space="preserve">
06/27/2019:</t>
    </r>
    <r>
      <rPr>
        <rFont val="Arial"/>
        <sz val="12.0"/>
      </rPr>
      <t xml:space="preserve">  Added Emile Bertin (R)'s stats and skills.</t>
    </r>
    <r>
      <rPr>
        <rFont val="Arial"/>
        <b/>
        <sz val="12.0"/>
      </rPr>
      <t xml:space="preserve">
06/26/2019:</t>
    </r>
    <r>
      <rPr>
        <rFont val="Arial"/>
        <sz val="12.0"/>
      </rPr>
      <t xml:space="preserve">  Changed local columns to reflect changes in tomorrow's update for the Iris Event:
 - USS BB Massachusetts
 - MNF BB Jean Bart
 - MNF BC Dunkerque
 - FFNF CL Emile Bertin
 - FFNF DD Le Triomphant
 - MNF DD Le Mars (And her retrofit)
 - FFNF DD Forbin (And her retrofit)
 - FFNF SS Surcouf
 - Added an entry for FFNF Emile Bertin's retro in the masterlist, but I don't have stats for her yet.</t>
    </r>
    <r>
      <rPr>
        <rFont val="Arial"/>
        <b/>
        <sz val="12.0"/>
      </rPr>
      <t xml:space="preserve">
06/22/2019:</t>
    </r>
    <r>
      <rPr>
        <rFont val="Arial"/>
        <sz val="12.0"/>
      </rPr>
      <t xml:space="preserve"> Added two new retrofits, not available in EN yet:
 - HMS CL Curacoa (R)
 - HMS CL Curlew (R)</t>
    </r>
    <r>
      <rPr>
        <rFont val="Arial"/>
        <b/>
        <sz val="12.0"/>
      </rPr>
      <t xml:space="preserve">
06/19/2019:</t>
    </r>
    <r>
      <rPr>
        <rFont val="Arial"/>
        <sz val="12.0"/>
      </rPr>
      <t xml:space="preserve">  Changed local columns to reflect changes in tomorrow's update:
 - HMS CV Glorious
 - HMS DD Acasta and her retro
 - HMS DD Ardent and her retro
</t>
    </r>
    <r>
      <rPr>
        <rFont val="Arial"/>
        <b/>
        <sz val="12.0"/>
      </rPr>
      <t xml:space="preserve">
06/16/2019:</t>
    </r>
    <r>
      <rPr>
        <rFont val="Arial"/>
        <sz val="12.0"/>
      </rPr>
      <t xml:space="preserve"> Added this month's monthly login ship:
 - HMS CL Southampton</t>
    </r>
    <r>
      <rPr>
        <rFont val="Arial"/>
        <b/>
        <sz val="12.0"/>
      </rPr>
      <t xml:space="preserve">
06/14/2019:</t>
    </r>
    <r>
      <rPr>
        <rFont val="Arial"/>
        <sz val="12.0"/>
      </rPr>
      <t xml:space="preserve">  A day late, but changed local columns to reflect changes in yesterday's update:
 - IJN CVL Hiyou
 - IJN CVL Junyou
 - IJN CA Choukai
 - HMS CL Swiftsure isn't in EN yet, but I've added her to the spreadsheet.  </t>
    </r>
    <r>
      <rPr>
        <rFont val="Arial"/>
        <b/>
        <sz val="12.0"/>
      </rPr>
      <t xml:space="preserve">
06/09/2019:</t>
    </r>
    <r>
      <rPr>
        <rFont val="Arial"/>
        <sz val="12.0"/>
      </rPr>
      <t xml:space="preserve">  Experimenting with a few things;
 - I've changed the ID sorting so that retrofit ships are listed beside their non-reto version when sorted by ID.  I'm not sure this is better than it was previously, but I'm going to leave it for a while to get a feel for it.
 - Added a crude section on the far right of the CA and CL tabs that show how many main gun/torpedo/AA gun mounts each ship has.  I'm not really happy with it and it will most likely change once I figure out a better way to implement that information.</t>
    </r>
    <r>
      <rPr>
        <rFont val="Arial"/>
        <b/>
        <sz val="12.0"/>
      </rPr>
      <t xml:space="preserve">
</t>
    </r>
    <r>
      <rPr>
        <rFont val="Arial"/>
        <sz val="12.0"/>
      </rPr>
      <t xml:space="preserve"> - Still looking at the viability of using the headers I made in the sandbox tab, which might also help the issue above.
</t>
    </r>
    <r>
      <rPr>
        <rFont val="Arial"/>
        <b/>
        <sz val="12.0"/>
      </rPr>
      <t xml:space="preserve">
06/08/2019:</t>
    </r>
    <r>
      <rPr>
        <rFont val="Arial"/>
        <sz val="12.0"/>
      </rPr>
      <t xml:space="preserve">  Added two more ships recently added in the CN version that we don't have yet.
 - KMS DD Z1 (R)
 - KMS CL Leipzig (R)
 - Fixed Elegant Kizuna's skill cells.</t>
    </r>
    <r>
      <rPr>
        <rFont val="Arial"/>
        <b/>
        <sz val="12.0"/>
      </rPr>
      <t xml:space="preserve">
06/05/2019: </t>
    </r>
    <r>
      <rPr>
        <rFont val="Arial"/>
        <sz val="12.0"/>
      </rPr>
      <t xml:space="preserve"> Koln (R) stats added, and added her to the appropriate tabs.</t>
    </r>
    <r>
      <rPr>
        <rFont val="Arial"/>
        <b/>
        <sz val="12.0"/>
      </rPr>
      <t xml:space="preserve">
06/03/2019:</t>
    </r>
    <r>
      <rPr>
        <rFont val="Arial"/>
        <sz val="12.0"/>
      </rPr>
      <t xml:space="preserve">  Changed the local column for Achilles (R).  I mistakenly had her retrofit listed as available in the EN version, but it's not in for us yet.  Apparently I just assumed it was when I saw Ajax's retro in-game.  </t>
    </r>
    <r>
      <rPr>
        <rFont val="Arial"/>
        <b/>
        <sz val="12.0"/>
      </rPr>
      <t xml:space="preserve">
05/30/2019:</t>
    </r>
    <r>
      <rPr>
        <rFont val="Arial"/>
        <sz val="12.0"/>
      </rPr>
      <t xml:space="preserve">  Added 3 new ships coming in today's update:
 - USS CL Li'l Sandy
 - USS CL Clevelad (That's not a typo)
 - USS CL Lena</t>
    </r>
    <r>
      <rPr>
        <rFont val="Arial"/>
        <b/>
        <sz val="12.0"/>
      </rPr>
      <t xml:space="preserve">
05/24/2019: </t>
    </r>
    <r>
      <rPr>
        <rFont val="Arial"/>
        <sz val="12.0"/>
      </rPr>
      <t xml:space="preserve"> Missing a few numbers, but the Bismarck event ships are now in their correct tabs and updated.</t>
    </r>
    <r>
      <rPr>
        <rFont val="Arial"/>
        <b/>
        <sz val="12.0"/>
      </rPr>
      <t xml:space="preserve">
05/23/2019:</t>
    </r>
    <r>
      <rPr>
        <rFont val="Arial"/>
        <sz val="12.0"/>
      </rPr>
      <t xml:space="preserve">  Updated local column to reflect changes in today's update:
 - KMS BB Bismarck
 - KMS SS U-73
 - KMS SS U-556
 - KMS DD Z36
 - HMS BB King George V
 - HMS DD Echo
 - KMS CL Koln retrofit </t>
    </r>
    <r>
      <rPr>
        <rFont val="Arial"/>
        <b/>
        <sz val="12.0"/>
      </rPr>
      <t xml:space="preserve">
05/21/2019:</t>
    </r>
    <r>
      <rPr>
        <rFont val="Arial"/>
        <sz val="12.0"/>
      </rPr>
      <t xml:space="preserve">  Added a few more entries for some of the new ships coming, but I don't have anything on them yet other than names, so they're sitting in the Masterlist for now.  Again, I'll keep an eye out for updates.</t>
    </r>
    <r>
      <rPr>
        <rFont val="Arial"/>
        <b/>
        <sz val="12.0"/>
      </rPr>
      <t xml:space="preserve">
05/18/2019:</t>
    </r>
    <r>
      <rPr>
        <rFont val="Arial"/>
        <sz val="12.0"/>
      </rPr>
      <t xml:space="preserve">  A small update, added:
 - HMS CVL Hermes Retrofit
 - Entry for KMS SS U-556, no stats for her yet.  Will update again when I have them.</t>
    </r>
    <r>
      <rPr>
        <rFont val="Arial"/>
        <b/>
        <sz val="12.0"/>
      </rPr>
      <t xml:space="preserve">
05/11/2019:</t>
    </r>
    <r>
      <rPr>
        <rFont val="Arial"/>
        <sz val="12.0"/>
      </rPr>
      <t xml:space="preserve">  Just some general improvements and additions:
 - Created new ASW Gear tab
 - Made some slight changes to to Aux Gear tab</t>
    </r>
    <r>
      <rPr>
        <rFont val="Arial"/>
        <b/>
        <sz val="12.0"/>
      </rPr>
      <t xml:space="preserve">
05/08/2019: </t>
    </r>
    <r>
      <rPr>
        <rFont val="Arial"/>
        <sz val="12.0"/>
      </rPr>
      <t xml:space="preserve"> Updated local columns to reflect changes in tomorrow's update.
 - HMS CA Sussex
 - HMS BM Abercrombie</t>
    </r>
    <r>
      <rPr>
        <rFont val="Arial"/>
        <b/>
        <sz val="12.0"/>
      </rPr>
      <t xml:space="preserve">
05/05/2019:</t>
    </r>
    <r>
      <rPr>
        <rFont val="Arial"/>
        <sz val="12.0"/>
      </rPr>
      <t xml:space="preserve">  Updated local columns to reflect changes in today's update.  Research project ships;
 - HMS CL Neptune
 - HMS BB Monarch
 - IJN CA Ibuki
 - IJN BB Izumo
 - KMS CA Roon
 - FFNF CA Saint Louis
 - Removed "Not in EN yet" tags from Research season 1 gear
 - Changed the top row stat names to the abbreviated versions used in the game.  This has helped cut down a lot of wasted space in the spreadsheet, and gave me the opportunity to standardize cell sizes, so the spreadsheet looks a lot better IMO.  I've added notes to the headers so that those that aren't familiar can easily find out what they mean.</t>
    </r>
    <r>
      <rPr>
        <rFont val="Arial"/>
        <b/>
        <sz val="12.0"/>
      </rPr>
      <t xml:space="preserve">
04/27/2019:</t>
    </r>
    <r>
      <rPr>
        <rFont val="Arial"/>
        <sz val="12.0"/>
      </rPr>
      <t xml:space="preserve"> </t>
    </r>
    <r>
      <rPr>
        <rFont val="Arial"/>
        <b/>
        <sz val="12.0"/>
      </rPr>
      <t>(Part 2)</t>
    </r>
    <r>
      <rPr>
        <rFont val="Arial"/>
        <sz val="12.0"/>
      </rPr>
      <t xml:space="preserve"> I'll update here when I update a tab to lvl 120:
 - DD tab updated
 - CL tab updated
 - CA tab updated
 - CA/CL tab updated
 - BB/BC/BM/BBV tab updated
</t>
    </r>
    <r>
      <rPr>
        <rFont val="Arial"/>
        <b/>
        <sz val="12.0"/>
      </rPr>
      <t xml:space="preserve"> </t>
    </r>
    <r>
      <rPr>
        <rFont val="Arial"/>
        <sz val="12.0"/>
      </rPr>
      <t>- CV/CVL/BBV/AR tab updated
 - SS tab updated
Everything's updated to lvl 120 and copied over to the other tabs.  I've probably made a few mistakes or typos, even after going over them all at least twice.  If you find any mistakes or something looks funny, let me know.</t>
    </r>
    <r>
      <rPr>
        <rFont val="Arial"/>
        <b/>
        <sz val="12.0"/>
      </rPr>
      <t xml:space="preserve">
04/27/2019:</t>
    </r>
    <r>
      <rPr>
        <rFont val="Arial"/>
        <sz val="12.0"/>
      </rPr>
      <t xml:space="preserve">  The wiki pages for the ships are back to normal, so I finished updating stats in the Masterlist.  Before I copy them over, I'm going to go over them again to make sure I didn't miss anything, considering I did it over the course of two days with a pause in the middle.
Also added Kisaragi's retrofit. </t>
    </r>
    <r>
      <rPr>
        <rFont val="Arial"/>
        <b/>
        <sz val="12.0"/>
      </rPr>
      <t xml:space="preserve">
04/26/2019:</t>
    </r>
    <r>
      <rPr>
        <rFont val="Arial"/>
        <sz val="12.0"/>
      </rPr>
      <t xml:space="preserve"> End of the day, I've converted most stats to lvl 120.  Unfortunately, there seems to be an issue on a lot of the ship wiki pages ATM which makes getting stats from them really difficult.  Most of the normal ship are updated, but some of the retrofits still have their lvl 100 numbers simply because I can't read their lvl 120 numbers and their wiki pages are going through a rebellious phase.  For now, the Masterlist will be lvl 120 stats while the individual class tabs still have their lvl 100 stats.  The information has to be complete before I will copy them over for reasons mentioned earlier in the changelog</t>
    </r>
    <r>
      <rPr>
        <rFont val="Arial"/>
        <b/>
        <sz val="12.0"/>
      </rPr>
      <t xml:space="preserve">
04/26/2019:</t>
    </r>
    <r>
      <rPr>
        <rFont val="Arial"/>
        <sz val="12.0"/>
      </rPr>
      <t xml:space="preserve"> The pages have been created for the new ships, only the lvl 120 stats for now.  I'll be changing the stats to lvl 120 numbers over the next few days, since it seems easier on the folks creating the wiki to get those numbers.  It'll make it easier and faster.  I'll do it on the Masterlist first and then copy them to the class tabs when I'm done, so the color grading doesn't get skewed.</t>
    </r>
    <r>
      <rPr>
        <rFont val="Arial"/>
        <b/>
        <sz val="12.0"/>
      </rPr>
      <t xml:space="preserve">
04/25/2019:</t>
    </r>
    <r>
      <rPr>
        <rFont val="Arial"/>
        <sz val="12.0"/>
      </rPr>
      <t xml:space="preserve"> I've added entries for the Kizuna Ai Collab ships and the Operation Manjuu ships.  I don't have any information on them at all however, so they're sitting mostly blank in the masterlist until I get more info.  I'll add information as I get it or see it uploaded on the wiki.</t>
    </r>
    <r>
      <rPr>
        <rFont val="Arial"/>
        <b/>
        <sz val="12.0"/>
      </rPr>
      <t xml:space="preserve">
04/24/2019:</t>
    </r>
    <r>
      <rPr>
        <rFont val="Arial"/>
        <sz val="12.0"/>
      </rPr>
      <t xml:space="preserve"> Just a few small changes. nothing major has happened in the past couple of days.
-Changed "Belchan" to "Little Bel."
-Updated the weapons to match the wiki.
-Changed Azuma to "CB" instead of "CA."  This won't change how she's placed in the spreadsheet, she'll still be listed and organized as a Heavy Cruiser, I just included the Large Cruiser designation to be thorough and possibly future-proof, should more ships be released that are also classified as Large Cruisers.
-Updated the landing page a bit too, included some much-deserved links which I should've added earlier.
No lvl 100 stats on the new round of research ships yet, which is understandable.</t>
    </r>
    <r>
      <rPr>
        <rFont val="Arial"/>
        <b/>
        <sz val="12.0"/>
      </rPr>
      <t xml:space="preserve">
04/18/2019: </t>
    </r>
    <r>
      <rPr>
        <rFont val="Arial"/>
        <sz val="12.0"/>
      </rPr>
      <t xml:space="preserve">Added some of the new weapons and AA guns included in the second season of research.  Some of the numbers are missing, and I don't play the JP version, so I'm completely reliant on the wiki for these numbers (as always, for new stuff).  I'll update when I see the missing numbers added in the future.
The wiki now has stats for the lvl 120 versions of the new PR ships, but not the lvl 100 stats.  I can't add these because of how drastically it would skew the color grading (FdG's lvl 120 numbers are disgusting), unless I change all stats in the spreadsheet to lvl 120.  I'll hold off a while and hope someone can provide their lvl 100 stats.  If not, I'll find time to update all ships in the spreadsheet to lvl 120.
</t>
    </r>
    <r>
      <rPr>
        <rFont val="Arial"/>
        <b/>
        <sz val="12.0"/>
      </rPr>
      <t>04/17/2019:</t>
    </r>
    <r>
      <rPr>
        <rFont val="Arial"/>
        <sz val="12.0"/>
      </rPr>
      <t xml:space="preserve"> Added entries for the 6 newly announced PR ships (Azuma, Georgia, etc.), as their pages have been created on the wiki.  They don't have the stats up yet, so they're just on the Masterlist with links to their pages.  When the stats are updated on the wiki, I'll update them here and then add them into their respective tabs, naturally.</t>
    </r>
    <r>
      <rPr>
        <rFont val="Arial"/>
        <b/>
        <sz val="12.0"/>
      </rPr>
      <t xml:space="preserve">
04/12/2019: </t>
    </r>
    <r>
      <rPr>
        <rFont val="Arial"/>
        <sz val="12.0"/>
      </rPr>
      <t>I've added purple versions of every gold weapon/aircraft/AA gun that had one to the weapon tabs.  I don't have very many gold weapons myself yet, so being able to compare the more accessible versions of the best weapons is pretty important.  This is mostly a personal convenience thing, but it didn't really clutter up the tabs much, so it I figured I might as well do it.</t>
    </r>
    <r>
      <rPr>
        <rFont val="Arial"/>
        <b/>
        <sz val="12.0"/>
      </rPr>
      <t xml:space="preserve">
04/10/2019: </t>
    </r>
    <r>
      <rPr>
        <rFont val="Arial"/>
        <sz val="12.0"/>
      </rPr>
      <t xml:space="preserve">Local columns updated to reflect changes coming in tomorrow's update, Ink-stained Steel Sakura event starts and includes:
IJN DD Fumizuki
IJN DD Kawakaze
IJN DD Asashio
IJN DD Ooshio
IJN DD Harutsuki
IJN DD Yoizuki
IJN BC Kongou
IJN BC Haruna
IJN BB Nagato (Yay!)
IJN BB Mutsu
IJN BB Ise's retrofit
IJN BB Hyuuga's retrofit
</t>
    </r>
    <r>
      <rPr>
        <rFont val="Arial"/>
        <b/>
        <sz val="12.0"/>
      </rPr>
      <t xml:space="preserve">04/08/2019: </t>
    </r>
    <r>
      <rPr>
        <rFont val="Arial"/>
        <sz val="12.0"/>
      </rPr>
      <t>Small polish pass, fixing some typos, cell sizes, and some other things.</t>
    </r>
    <r>
      <rPr>
        <rFont val="Arial"/>
        <b/>
        <sz val="12.0"/>
      </rPr>
      <t xml:space="preserve">
04/04/2019: </t>
    </r>
    <r>
      <rPr>
        <rFont val="Arial"/>
        <sz val="12.0"/>
      </rPr>
      <t xml:space="preserve">Added Yuubari's retrofit.  Not in EN yet.
</t>
    </r>
    <r>
      <rPr>
        <rFont val="Arial"/>
        <b/>
        <sz val="12.0"/>
      </rPr>
      <t>04/03/2019:</t>
    </r>
    <r>
      <rPr>
        <rFont val="Arial"/>
        <sz val="12.0"/>
      </rPr>
      <t xml:space="preserve"> Local columns updated to reflect changes coming in tomorrow's update:
KMS CL Karlsruhe retrofit
KMS SS U-81
IJN SS I-19
IJN SS I-26
IJN SS I-58
USS SS Dace
</t>
    </r>
    <r>
      <rPr>
        <rFont val="Arial"/>
        <b/>
        <sz val="12.0"/>
      </rPr>
      <t>03/30/2019:</t>
    </r>
    <r>
      <rPr>
        <rFont val="Arial"/>
        <sz val="12.0"/>
      </rPr>
      <t xml:space="preserve"> Added two more ships added to the wiki, not in the EN version yet:
IJN CA Suzuya
IJN SSV I-13</t>
    </r>
    <r>
      <rPr>
        <rFont val="Arial"/>
        <b/>
        <sz val="12.0"/>
      </rPr>
      <t xml:space="preserve">
03/28/2019:</t>
    </r>
    <r>
      <rPr>
        <rFont val="Arial"/>
        <sz val="12.0"/>
      </rPr>
      <t xml:space="preserve"> Local columns updated to reflect changes in today's update:
USS CV Saratoga's retrofit
IJN DD Shiranui's retrofit
USS CL Montpelier
USS CL Denver
IJN DD Hatsushimo
Cleaned up a bit by getting rid of most unnecessary cells.  No longer is 75% of a tab just blank cells.  Hopefully makes the spreadsheet a little easier to use.
</t>
    </r>
    <r>
      <rPr>
        <rFont val="Arial"/>
        <b/>
        <sz val="12.0"/>
      </rPr>
      <t xml:space="preserve">
03/25/2019:</t>
    </r>
    <r>
      <rPr>
        <rFont val="Arial"/>
        <sz val="12.0"/>
      </rPr>
      <t xml:space="preserve"> Added two more ships added to the wiki, not in the EN version yet:
USS CV Bunker Hill
USS DD Dewey
</t>
    </r>
    <r>
      <rPr>
        <rFont val="Arial"/>
        <b/>
        <sz val="12.0"/>
      </rPr>
      <t>03/21/2019:</t>
    </r>
    <r>
      <rPr>
        <rFont val="Arial"/>
        <sz val="12.0"/>
      </rPr>
      <t xml:space="preserve"> Local columns updated to reflect changes in today's update.  Visitors Dyed in Red event starts today, included ships are;
IJN CL Mogami (And her retrofit)
IJN CL Mikuma
IJN DD Yukikaze
IJN DD Akatsuki
IJN DD Nowaki
IJN CV Shoukaku
IJN CV Zuikaku
IJN BB Ise
IJN BB Hyuuga
HMS DD Foxhound's retrofit
</t>
    </r>
    <r>
      <rPr>
        <rFont val="Arial"/>
        <b/>
        <sz val="12.0"/>
      </rPr>
      <t>03/18/2019:</t>
    </r>
    <r>
      <rPr>
        <rFont val="Arial"/>
        <sz val="12.0"/>
      </rPr>
      <t xml:space="preserve"> Attempted to clean up and clarify this landing page a bit.  Success has been elusive.
</t>
    </r>
    <r>
      <rPr>
        <rFont val="Arial"/>
        <b/>
        <sz val="12.0"/>
      </rPr>
      <t>03/16/2019:</t>
    </r>
    <r>
      <rPr>
        <rFont val="Arial"/>
        <sz val="12.0"/>
      </rPr>
      <t xml:space="preserve"> Finished Aux Gear tab.  Just like weapons and aircraft, only shows the best version of each item type to keep things simple.  Added submarine torpedoes to Weapons tab
</t>
    </r>
    <r>
      <rPr>
        <rFont val="Arial"/>
        <b/>
        <sz val="12.0"/>
      </rPr>
      <t xml:space="preserve">03/15/2019: </t>
    </r>
    <r>
      <rPr>
        <rFont val="Arial"/>
        <sz val="12.0"/>
      </rPr>
      <t xml:space="preserve">Removed Alternate CV tab, combined it with the normal tab.  Currently working on the gear tab.
</t>
    </r>
    <r>
      <rPr>
        <rFont val="Arial"/>
        <b/>
        <sz val="12.0"/>
      </rPr>
      <t>03/14/2019:</t>
    </r>
    <r>
      <rPr>
        <rFont val="Arial"/>
        <sz val="12.0"/>
      </rPr>
      <t xml:space="preserve"> Changed Local columns, ships added by update;
IJN CL Agano
IJN CL Sendai
USS CL Columbia
USS CA Quincy
USS CA Vincennes
USS CA Astoria
IJN BC Kirishima
Retrofits added;
Sendai,  Mutsuki, and Matsukaze
Also added upcoming ships and retrofits listed on the wiki but not yet in-game:
USS CV Shangri-La
USS CVL Independence
HMS DD Hardy
HMS DD Hunter
KMS DD Z2
USS DD Sims (R)
Added an Aircraft tab.</t>
    </r>
  </si>
  <si>
    <t xml:space="preserve">Check out these other resources if you're interested in more information about the game: </t>
  </si>
  <si>
    <t>ID</t>
  </si>
  <si>
    <t>Type</t>
  </si>
  <si>
    <t>Ship</t>
  </si>
  <si>
    <t>Rarity</t>
  </si>
  <si>
    <t>HP</t>
  </si>
  <si>
    <t>FP</t>
  </si>
  <si>
    <t>TRP</t>
  </si>
  <si>
    <t>AVI</t>
  </si>
  <si>
    <t>AA</t>
  </si>
  <si>
    <t>RLD</t>
  </si>
  <si>
    <t>EVA</t>
  </si>
  <si>
    <t>Armor</t>
  </si>
  <si>
    <t>SPD</t>
  </si>
  <si>
    <t>ACC</t>
  </si>
  <si>
    <t>LCK</t>
  </si>
  <si>
    <t>ASW</t>
  </si>
  <si>
    <t>OIL</t>
  </si>
  <si>
    <t>OXY</t>
  </si>
  <si>
    <t>AMO</t>
  </si>
  <si>
    <t>Faction</t>
  </si>
  <si>
    <t>Drop</t>
  </si>
  <si>
    <t>Acquisition</t>
  </si>
  <si>
    <t>Build</t>
  </si>
  <si>
    <t>Notes</t>
  </si>
  <si>
    <t>DD</t>
  </si>
  <si>
    <t>Elite</t>
  </si>
  <si>
    <t>Light</t>
  </si>
  <si>
    <t>Universal</t>
  </si>
  <si>
    <t>Weekly/exchange</t>
  </si>
  <si>
    <t>Super Rare</t>
  </si>
  <si>
    <t>Specialized Bulin MKIII</t>
  </si>
  <si>
    <t>Ultra Rare</t>
  </si>
  <si>
    <t>Prototype Shop</t>
  </si>
  <si>
    <t>Rare</t>
  </si>
  <si>
    <t>Eagle Union</t>
  </si>
  <si>
    <t>13-3</t>
  </si>
  <si>
    <t>Drop Only</t>
  </si>
  <si>
    <t>Common</t>
  </si>
  <si>
    <t>1-3</t>
  </si>
  <si>
    <t>Retrofit</t>
  </si>
  <si>
    <t>2-2</t>
  </si>
  <si>
    <t>1-1</t>
  </si>
  <si>
    <t>10 Star Collection with Gridley class ships</t>
  </si>
  <si>
    <t>2-3</t>
  </si>
  <si>
    <t>Sortie with other Fletcher DDs</t>
  </si>
  <si>
    <t>3-2</t>
  </si>
  <si>
    <t>Exchange</t>
  </si>
  <si>
    <t>1-2</t>
  </si>
  <si>
    <t>Merit</t>
  </si>
  <si>
    <t>CL</t>
  </si>
  <si>
    <t>1-4</t>
  </si>
  <si>
    <t>All</t>
  </si>
  <si>
    <t>4-1</t>
  </si>
  <si>
    <t>5-1</t>
  </si>
  <si>
    <t>Helena (R)</t>
  </si>
  <si>
    <t>5-2</t>
  </si>
  <si>
    <t>Tragic waifu, must protect</t>
  </si>
  <si>
    <t>Light, Exchange</t>
  </si>
  <si>
    <t>Memes</t>
  </si>
  <si>
    <t>No longer memes, serious business</t>
  </si>
  <si>
    <t>4-4</t>
  </si>
  <si>
    <t>11-4 (BN)</t>
  </si>
  <si>
    <t>(BN) Indicates boss node only drop</t>
  </si>
  <si>
    <t>CA</t>
  </si>
  <si>
    <t>2-1</t>
  </si>
  <si>
    <t>Heavy, Special</t>
  </si>
  <si>
    <t>8-3</t>
  </si>
  <si>
    <t>3-1</t>
  </si>
  <si>
    <t>Medium</t>
  </si>
  <si>
    <t>3-4</t>
  </si>
  <si>
    <t>Pair with Indy</t>
  </si>
  <si>
    <t>Doesn't need Indy anymore</t>
  </si>
  <si>
    <t>3-3</t>
  </si>
  <si>
    <t>Limited</t>
  </si>
  <si>
    <t>"Prelude Under the Moon" event mission reward</t>
  </si>
  <si>
    <t>"Prelude Under the Moon" event login reward</t>
  </si>
  <si>
    <t>"Prelude Under the Moon" event daily reward</t>
  </si>
  <si>
    <t>12 stars with Brooklyn class collection, powerful gun cruiser</t>
  </si>
  <si>
    <t>"Ashen Simulacrum" Event construction</t>
  </si>
  <si>
    <t>BB</t>
  </si>
  <si>
    <t>Heavy</t>
  </si>
  <si>
    <t>"Fallen Wings" event construction</t>
  </si>
  <si>
    <t>Core Data</t>
  </si>
  <si>
    <t>"Fallen Wings" event mission drop/reward</t>
  </si>
  <si>
    <t>"Fallen Wings" event drop</t>
  </si>
  <si>
    <t>Pair with Washington</t>
  </si>
  <si>
    <t>New Jersey</t>
  </si>
  <si>
    <t>Mirror Involution</t>
  </si>
  <si>
    <t>CVL</t>
  </si>
  <si>
    <t>Special</t>
  </si>
  <si>
    <t>Pair with other CVs to level them faster</t>
  </si>
  <si>
    <t>Also enhances reload on other CVLs</t>
  </si>
  <si>
    <t>CV</t>
  </si>
  <si>
    <t>2-4</t>
  </si>
  <si>
    <t>13 T1, 13 T2, 8 T3, 50 T3 Plane, 50 T3 Aux</t>
  </si>
  <si>
    <t>Special, Exchange</t>
  </si>
  <si>
    <t>"Lucky E" skill OP if it procs</t>
  </si>
  <si>
    <t>5-3</t>
  </si>
  <si>
    <t>"Fallen Wings" event mission drop</t>
  </si>
  <si>
    <t>AR</t>
  </si>
  <si>
    <t>6-1</t>
  </si>
  <si>
    <t>Royal Navy</t>
  </si>
  <si>
    <t>XP bonus to DDs in same fleet</t>
  </si>
  <si>
    <t>"Glorious Battle" event mission reward</t>
  </si>
  <si>
    <t>"Glorious Battle" event mission drop/reward</t>
  </si>
  <si>
    <t>Pair with CVs for bonus damage and protection</t>
  </si>
  <si>
    <t>Vanguard DD reload passive</t>
  </si>
  <si>
    <t>Main fleet damage resist passive</t>
  </si>
  <si>
    <t>"Winter's Crown" event reward</t>
  </si>
  <si>
    <t>No choice but to ram!</t>
  </si>
  <si>
    <t>"Starry Sky Under the Arctic Fjord" Event construction/reward</t>
  </si>
  <si>
    <t>"Starry Sky Under the Arctic Fjord" Event reward</t>
  </si>
  <si>
    <t>Vanguard cruiser firepower passive</t>
  </si>
  <si>
    <t>"Fight on, Royal Maids!" Event construction</t>
  </si>
  <si>
    <t>Monthly Login Reward</t>
  </si>
  <si>
    <t>"Winter's Crown" event construction, interesting skills</t>
  </si>
  <si>
    <t>Equip with AP</t>
  </si>
  <si>
    <t>Equip with HE</t>
  </si>
  <si>
    <t>Vanguard firepower passive</t>
  </si>
  <si>
    <t>Very strong with DD secondary equipped</t>
  </si>
  <si>
    <t>4-2</t>
  </si>
  <si>
    <t>20 Star collection with County-class ships.</t>
  </si>
  <si>
    <t>6-2</t>
  </si>
  <si>
    <t>BC</t>
  </si>
  <si>
    <t>Heavy, Exchange</t>
  </si>
  <si>
    <t>Royal Navy fleet bonus passive</t>
  </si>
  <si>
    <t>"Scherzo of Iron and Blood" event construction/exchange. The skills, though</t>
  </si>
  <si>
    <t>Sortie with Eagle Union ships for passive bonus</t>
  </si>
  <si>
    <t>Reload passive for vanguard, heals them with each airstrike</t>
  </si>
  <si>
    <t>Eagle</t>
  </si>
  <si>
    <t>"Aurora Noctis" event construction</t>
  </si>
  <si>
    <t>6-3</t>
  </si>
  <si>
    <t>Torps.  All the torps.</t>
  </si>
  <si>
    <t>Ark Royal (R)</t>
  </si>
  <si>
    <t>Combine with healing carrier for indestructible vanguard</t>
  </si>
  <si>
    <t>"Winter's Crown" event construction</t>
  </si>
  <si>
    <t>"Empyreal Tragicomedy" event construction</t>
  </si>
  <si>
    <t>"Glorious Battle" event drop/mission reward</t>
  </si>
  <si>
    <t>BM</t>
  </si>
  <si>
    <t>4-3</t>
  </si>
  <si>
    <t>Sakura Empire</t>
  </si>
  <si>
    <t>Pair with Akatsuki, Ikazuchi, Inazuma, Ayanami</t>
  </si>
  <si>
    <t>Shirayuki</t>
  </si>
  <si>
    <t>Swirling Cherry Blossoms</t>
  </si>
  <si>
    <t>15 Star collection with starter ships</t>
  </si>
  <si>
    <t>"Mid-Autumn Festival" and "Visitors Dyed in Red" event drops, Core Data Exchange</t>
  </si>
  <si>
    <t>"Swirling Cherry Blossoms" Event reward</t>
  </si>
  <si>
    <t>8-2</t>
  </si>
  <si>
    <t>8-1</t>
  </si>
  <si>
    <t>6-4 (BN)</t>
  </si>
  <si>
    <t>Yuudachi (R)</t>
  </si>
  <si>
    <t>"Visitors Dyed in Red" even construction, War Archives</t>
  </si>
  <si>
    <t>"Mid-Autumn Festival" and "Visitors Dyed in Red" events, War Archives</t>
  </si>
  <si>
    <t>Monthly login reward</t>
  </si>
  <si>
    <t>Hatsushimo (R)</t>
  </si>
  <si>
    <t>Ariake (R)</t>
  </si>
  <si>
    <t>"The Return of the War God" event construction</t>
  </si>
  <si>
    <t>CL and CA experience boost passive</t>
  </si>
  <si>
    <t>7-3</t>
  </si>
  <si>
    <t>Japanese AA CL, has +1 AA gun mount.</t>
  </si>
  <si>
    <t>Yura</t>
  </si>
  <si>
    <t>"Swirling Cherry Blossoms" Event construction/exchange</t>
  </si>
  <si>
    <t>"Visitors Dyed in Red" event construction</t>
  </si>
  <si>
    <t>"Visitors Dyed in Red" event point reward</t>
  </si>
  <si>
    <t>Chikuma</t>
  </si>
  <si>
    <t>Tank Waifu</t>
  </si>
  <si>
    <t>"Crimson Echoes" event construction</t>
  </si>
  <si>
    <t>Also appeared in Exchange</t>
  </si>
  <si>
    <t>8-4 (BN)</t>
  </si>
  <si>
    <t>12-4 (BN)</t>
  </si>
  <si>
    <t>"Ink-stained Steel Sakura" event drop/point reward</t>
  </si>
  <si>
    <t>"Ink-stained Steel Sakura" event point reward</t>
  </si>
  <si>
    <t>BBV</t>
  </si>
  <si>
    <t>"Ink-stained Steel Sakura" event construction, Sakura Flagship</t>
  </si>
  <si>
    <t>Kii</t>
  </si>
  <si>
    <t>12-2</t>
  </si>
  <si>
    <t>12-3</t>
  </si>
  <si>
    <t>7-4</t>
  </si>
  <si>
    <t>CV XP boost passive</t>
  </si>
  <si>
    <t>Heal vanguard on airstrikes</t>
  </si>
  <si>
    <t>"Smoke-smothered South Seas" event construction</t>
  </si>
  <si>
    <t>3-4 (BN)</t>
  </si>
  <si>
    <t>Pair with Kaga</t>
  </si>
  <si>
    <t>Pair with Akagi</t>
  </si>
  <si>
    <t>Pair with Hiryuu</t>
  </si>
  <si>
    <t>Pair with Souryuu</t>
  </si>
  <si>
    <t>"1 Year Anniversary" event construction</t>
  </si>
  <si>
    <t>Shinano</t>
  </si>
  <si>
    <t>Light, Special</t>
  </si>
  <si>
    <t>The gold digger waifu, a PITA to get, Absolutely worth it</t>
  </si>
  <si>
    <t>Iron Blood</t>
  </si>
  <si>
    <t>Pair with other Z-class (Ironblood DDs)</t>
  </si>
  <si>
    <t>Can equip CL guns, don't recommend though.  Same with Z25</t>
  </si>
  <si>
    <t>"Opposite-colored" event construction</t>
  </si>
  <si>
    <t>9 Star collection with Konigsberg-class ships, strong vanguard cruiser passive buffs</t>
  </si>
  <si>
    <t>"Opposite-colored" event drop/construction, Ironblood Indy</t>
  </si>
  <si>
    <t>Exchange, vanguard ship with most health</t>
  </si>
  <si>
    <t>"Opposite-colored" event drop</t>
  </si>
  <si>
    <t>"Encircling Graf Spee" event reward/construction</t>
  </si>
  <si>
    <t>"Opposite-colored" event drop/mission reward, core data exchange</t>
  </si>
  <si>
    <t>"Opposite-colored" event drop/point reward, War Archives</t>
  </si>
  <si>
    <t>"Scherzo of Iron and Blood" event construction</t>
  </si>
  <si>
    <t>"Opposite-colored" event point reward</t>
  </si>
  <si>
    <t>Dragon Empery</t>
  </si>
  <si>
    <t>"Lunar New Year 2019" event reward</t>
  </si>
  <si>
    <t>"Lunar New Year 2019" event construction</t>
  </si>
  <si>
    <t>"Lunar New Year 2019" event construction, pair with Ning/Ping Hai</t>
  </si>
  <si>
    <t>Sortie with Ping Hai, Yat Sen</t>
  </si>
  <si>
    <t>Sortie with Ning Hai, Yat Sen</t>
  </si>
  <si>
    <t>Northern Parliament</t>
  </si>
  <si>
    <t>CBT reward, "New Dawn" event reward</t>
  </si>
  <si>
    <t>"Opposite-colored" event drop/construction</t>
  </si>
  <si>
    <t>"Opposite-colored" event drop/reward</t>
  </si>
  <si>
    <t>Shimakaze</t>
  </si>
  <si>
    <t>10-1</t>
  </si>
  <si>
    <t>"Ink-stained Steel Sakura" event construction</t>
  </si>
  <si>
    <t>Monthly Login</t>
  </si>
  <si>
    <t>Umikaze</t>
  </si>
  <si>
    <t>Yamakaze</t>
  </si>
  <si>
    <t>"Ink-stained Steel Sakura" event drop/construction</t>
  </si>
  <si>
    <t>9-4 (BN)</t>
  </si>
  <si>
    <t>9-2</t>
  </si>
  <si>
    <t>9-3</t>
  </si>
  <si>
    <t>8-4</t>
  </si>
  <si>
    <t>10-2</t>
  </si>
  <si>
    <t>10-3</t>
  </si>
  <si>
    <t>October 2019 Monthly login</t>
  </si>
  <si>
    <t>11-3</t>
  </si>
  <si>
    <t>10-4</t>
  </si>
  <si>
    <t>Great Torp CL, it seems</t>
  </si>
  <si>
    <t>Impressive Skills</t>
  </si>
  <si>
    <t>Also shows up as monthly login reward</t>
  </si>
  <si>
    <t>11-2</t>
  </si>
  <si>
    <t>"Swirling Cherry Blossoms" Event construction/exchange/drop</t>
  </si>
  <si>
    <t>"Winter's Crown" event mission reward/drop</t>
  </si>
  <si>
    <t>"Winter's Crown" event drop</t>
  </si>
  <si>
    <t>"Winter's Crown" event drop/construction</t>
  </si>
  <si>
    <t>"Ink-stained Steel Sakura" event drop/reward (Added to Light construction later)</t>
  </si>
  <si>
    <t>"Operation Mantou" event reward</t>
  </si>
  <si>
    <t>SS</t>
  </si>
  <si>
    <t>Iris Libre</t>
  </si>
  <si>
    <t>"Iris of Light and the Dark" event drop/reward</t>
  </si>
  <si>
    <t>"Iris of Light and the Dark" event construction</t>
  </si>
  <si>
    <t>"Iris of Light and the Dark" event reward</t>
  </si>
  <si>
    <t>Vichya Dominion</t>
  </si>
  <si>
    <t>"1 Year Anniversary" event reward/construction</t>
  </si>
  <si>
    <t>"Fight on, Royal Maids!" Event reward</t>
  </si>
  <si>
    <t>"Fallen Wings" event reward</t>
  </si>
  <si>
    <t>"Crimson Echoes" event</t>
  </si>
  <si>
    <t>"Crimson Echoes" event drop/construction</t>
  </si>
  <si>
    <t>"Crimson Echoes" event reward</t>
  </si>
  <si>
    <t>"Lunar New Year 2019" Event construction</t>
  </si>
  <si>
    <t>"Air Raid Drills with Essex" Event reward</t>
  </si>
  <si>
    <t>Independence (R)</t>
  </si>
  <si>
    <t>"Air Raid Drills with Essex" Event construction</t>
  </si>
  <si>
    <t>"Starry Sky Under the Arctic Fjord" Event construction</t>
  </si>
  <si>
    <t>13-4 (BN)</t>
  </si>
  <si>
    <t>SSV</t>
  </si>
  <si>
    <t>"Ink-Stained Steel Sakura" event construction</t>
  </si>
  <si>
    <t>"Operation Manjuu" Event construction</t>
  </si>
  <si>
    <t>"Scherzo of Iron and Blood" event construction/drop</t>
  </si>
  <si>
    <t>"There Comes the Future Star" Event reward</t>
  </si>
  <si>
    <t>"Iris of Light and Dark" Event construction</t>
  </si>
  <si>
    <t>"Ashen Simulacrum" Event reward</t>
  </si>
  <si>
    <t>"Ashen Simulacrum" Event construction/reward</t>
  </si>
  <si>
    <t>Event login reward</t>
  </si>
  <si>
    <t>Sardegna Empire</t>
  </si>
  <si>
    <t>"Empyreal Tragicomedy" event reward/construction</t>
  </si>
  <si>
    <t>"Empyreal Tragicomedy" event drop/reward</t>
  </si>
  <si>
    <t>"Empyreal Tragicomedy" event reward</t>
  </si>
  <si>
    <t>"The Enigma and the Shark" Event reward/special construction</t>
  </si>
  <si>
    <t>Gascogne µ</t>
  </si>
  <si>
    <t>"Passionate Polaris" Event construction</t>
  </si>
  <si>
    <t>Akagi µ</t>
  </si>
  <si>
    <t>Cleveland µ</t>
  </si>
  <si>
    <t>Sheffield µ</t>
  </si>
  <si>
    <t>"Passionate Polaris" Event reward</t>
  </si>
  <si>
    <t>Admiral Hipper µ</t>
  </si>
  <si>
    <t>"Swirling Cherry Blossoms" Event construction</t>
  </si>
  <si>
    <t>Kasumi (R)</t>
  </si>
  <si>
    <t>"Spring Festival" Event reward</t>
  </si>
  <si>
    <t>Grozny</t>
  </si>
  <si>
    <t>"Northern Overture" Event construction</t>
  </si>
  <si>
    <t>Minsk</t>
  </si>
  <si>
    <t>"Northern Overture" Event drop/exchange</t>
  </si>
  <si>
    <t>Pamiat Merkuria (R)</t>
  </si>
  <si>
    <t>Kirov</t>
  </si>
  <si>
    <t>"Khorovod of Dawn's Rime" Event construction</t>
  </si>
  <si>
    <t>"Northern Overture" Event construction/drop/exchange</t>
  </si>
  <si>
    <t>"Northern Overture" Event reward</t>
  </si>
  <si>
    <t>Sovetskaya Belorussiya</t>
  </si>
  <si>
    <t>"Microlayer Medley" Event construction</t>
  </si>
  <si>
    <t>"Microlayer Medley" Event construction/drop/exchange</t>
  </si>
  <si>
    <t>"Microlayer Medley" Event reward</t>
  </si>
  <si>
    <t>"Microlayer Medley" Event drop/exchange</t>
  </si>
  <si>
    <t>"Little Royal Knight" Event reward</t>
  </si>
  <si>
    <t>"The Way Home in the Night" Event reward/construction</t>
  </si>
  <si>
    <t>Richelieu</t>
  </si>
  <si>
    <t>"Skybound Oratorio" Event construction</t>
  </si>
  <si>
    <t>Jeanne d'Arc</t>
  </si>
  <si>
    <t>"Skybound Oratorio" Event construction/exchange/drop</t>
  </si>
  <si>
    <t>Algérie</t>
  </si>
  <si>
    <t>La Galissonnière</t>
  </si>
  <si>
    <t>"Skybound Oratorio" Event reward</t>
  </si>
  <si>
    <t>Vauquelin</t>
  </si>
  <si>
    <t>Béarn</t>
  </si>
  <si>
    <t>"Skybound Oratorio" Event exchange/drop</t>
  </si>
  <si>
    <t>Little Illustrious</t>
  </si>
  <si>
    <t>Eskimo</t>
  </si>
  <si>
    <t>0:29:00</t>
  </si>
  <si>
    <t>"Counterattack Through the Fjord" Event construction</t>
  </si>
  <si>
    <t>Howe</t>
  </si>
  <si>
    <t>Perseus</t>
  </si>
  <si>
    <t>Hermione</t>
  </si>
  <si>
    <t>"Aurora Noctis" event construction/exchange/drop</t>
  </si>
  <si>
    <t>Valiant</t>
  </si>
  <si>
    <t>Icarus</t>
  </si>
  <si>
    <t>"Aurora Noctis" event reward</t>
  </si>
  <si>
    <t>Z26</t>
  </si>
  <si>
    <t>U-96</t>
  </si>
  <si>
    <t>Suzutsuki</t>
  </si>
  <si>
    <t>Kumano</t>
  </si>
  <si>
    <t>Chitose</t>
  </si>
  <si>
    <t>Chiyoda</t>
  </si>
  <si>
    <t>AE</t>
  </si>
  <si>
    <t>Kashino</t>
  </si>
  <si>
    <t>Princeton</t>
  </si>
  <si>
    <t>"Sundered Blue" Event reward</t>
  </si>
  <si>
    <t>Taihou µ</t>
  </si>
  <si>
    <t>"Universe in Unison" Event construction</t>
  </si>
  <si>
    <t>Tashkent µ</t>
  </si>
  <si>
    <t>Dido µ</t>
  </si>
  <si>
    <t>Albacore µ</t>
  </si>
  <si>
    <t>Baltimore µ</t>
  </si>
  <si>
    <t>Roon µ</t>
  </si>
  <si>
    <t>"Universe in Unison" Event reward</t>
  </si>
  <si>
    <t>Illustrious µ</t>
  </si>
  <si>
    <t>Le Malin µ</t>
  </si>
  <si>
    <t>"Universe in Unison" Event exchange</t>
  </si>
  <si>
    <t>Peter Strasser</t>
  </si>
  <si>
    <t>"Inverted Orthant" Event construction</t>
  </si>
  <si>
    <t>Prinz Heinrich</t>
  </si>
  <si>
    <t>U-37</t>
  </si>
  <si>
    <t>"Inverted Orthant" Event construction, exchange, drop</t>
  </si>
  <si>
    <t>Weser</t>
  </si>
  <si>
    <t>Nürnberg</t>
  </si>
  <si>
    <t>Z24</t>
  </si>
  <si>
    <t>"Inverted Orthant" Event reward</t>
  </si>
  <si>
    <t>Z28</t>
  </si>
  <si>
    <t>Pola</t>
  </si>
  <si>
    <t>Vincenzo Gioberti</t>
  </si>
  <si>
    <t>Stremitelny</t>
  </si>
  <si>
    <t>Login Reward</t>
  </si>
  <si>
    <t>Ferbuary 2021 login reward</t>
  </si>
  <si>
    <t>U-410</t>
  </si>
  <si>
    <t>"Spring Festival Speccial Training" Event reward</t>
  </si>
  <si>
    <t>Ying Swei</t>
  </si>
  <si>
    <t>Chao Ho</t>
  </si>
  <si>
    <t>Penelope</t>
  </si>
  <si>
    <t>Tallinn</t>
  </si>
  <si>
    <t>"Khorovod of Dawn's Rime" Event construction, drop, exchange</t>
  </si>
  <si>
    <t>Gremyashchy</t>
  </si>
  <si>
    <t>Murmansk</t>
  </si>
  <si>
    <t>Gromky</t>
  </si>
  <si>
    <t>"Khorovod of Dawn's Rime" Event reward</t>
  </si>
  <si>
    <t>Vittorio Veneto</t>
  </si>
  <si>
    <t>Daedalian Hymn</t>
  </si>
  <si>
    <t>Duca degli Abruzzi</t>
  </si>
  <si>
    <t>Aquila</t>
  </si>
  <si>
    <t>Torricelli</t>
  </si>
  <si>
    <t>Maestrale</t>
  </si>
  <si>
    <t>Libeccio</t>
  </si>
  <si>
    <t>Nicoloso da Recco</t>
  </si>
  <si>
    <t>Oite</t>
  </si>
  <si>
    <t>Monthly login</t>
  </si>
  <si>
    <t>Allen M. Sumner</t>
  </si>
  <si>
    <t>Ashen Simulacrum</t>
  </si>
  <si>
    <t>Stephen Potter</t>
  </si>
  <si>
    <t>Amagi-chan</t>
  </si>
  <si>
    <t>Young Tactician's Learning Log</t>
  </si>
  <si>
    <t>Ticonderoga</t>
  </si>
  <si>
    <t>San Francisco</t>
  </si>
  <si>
    <t>Archerfish</t>
  </si>
  <si>
    <t>Boise</t>
  </si>
  <si>
    <t>Morrison</t>
  </si>
  <si>
    <t>Little Enterprise</t>
  </si>
  <si>
    <t>Fledgling Wings</t>
  </si>
  <si>
    <t>Kazagumo</t>
  </si>
  <si>
    <t>Ingraham</t>
  </si>
  <si>
    <t>Microlayer Medley</t>
  </si>
  <si>
    <t>Nautilus</t>
  </si>
  <si>
    <t>Katsuragi</t>
  </si>
  <si>
    <t>A01</t>
  </si>
  <si>
    <t>Hiryuu META</t>
  </si>
  <si>
    <t>Ashes</t>
  </si>
  <si>
    <t>Operation Siren</t>
  </si>
  <si>
    <t>A02</t>
  </si>
  <si>
    <t>Ark Royal META</t>
  </si>
  <si>
    <t>A03</t>
  </si>
  <si>
    <t>Helena META</t>
  </si>
  <si>
    <t>A04</t>
  </si>
  <si>
    <t>Souryuu META</t>
  </si>
  <si>
    <t>A05</t>
  </si>
  <si>
    <t>Fusou META</t>
  </si>
  <si>
    <t>Cruise Missions</t>
  </si>
  <si>
    <t>C001</t>
  </si>
  <si>
    <t>Neptunia</t>
  </si>
  <si>
    <t>"Visitors from Another Dimension" event reward</t>
  </si>
  <si>
    <t>C002</t>
  </si>
  <si>
    <t>"Visitors from Another Dimension" event construction</t>
  </si>
  <si>
    <t>C003</t>
  </si>
  <si>
    <t>C004</t>
  </si>
  <si>
    <t>"Visitors from Another Dimension" event questline reward</t>
  </si>
  <si>
    <t>C005</t>
  </si>
  <si>
    <t>C006</t>
  </si>
  <si>
    <t>C007</t>
  </si>
  <si>
    <t>C008</t>
  </si>
  <si>
    <t>C041</t>
  </si>
  <si>
    <t>Kizuna Ai</t>
  </si>
  <si>
    <t>"Virtual Connection Synchronicity" Event login/exhange reward</t>
  </si>
  <si>
    <t>C042</t>
  </si>
  <si>
    <t>"Virtual Connection Synchronicity" Event exhange/construction</t>
  </si>
  <si>
    <t>C043</t>
  </si>
  <si>
    <t>"Virtual Connection Synchronicity" Event construction</t>
  </si>
  <si>
    <t>C044</t>
  </si>
  <si>
    <t>C051</t>
  </si>
  <si>
    <t>Hololive</t>
  </si>
  <si>
    <t>"Looking Glass of Fact and Fiction" Event construction</t>
  </si>
  <si>
    <t>C052</t>
  </si>
  <si>
    <t>"Looking Glass of Fact and Fiction" Event construction/exchange</t>
  </si>
  <si>
    <t>C053</t>
  </si>
  <si>
    <t>C054</t>
  </si>
  <si>
    <t>C055</t>
  </si>
  <si>
    <t>C056</t>
  </si>
  <si>
    <t>"Looking Glass of Fact and Fiction" Event reward</t>
  </si>
  <si>
    <t>C057</t>
  </si>
  <si>
    <t>C061</t>
  </si>
  <si>
    <t>Marie Rose</t>
  </si>
  <si>
    <t>Venus</t>
  </si>
  <si>
    <t>"Venus Vacation" Event construction</t>
  </si>
  <si>
    <t>C062</t>
  </si>
  <si>
    <t>Honoka</t>
  </si>
  <si>
    <t>C063</t>
  </si>
  <si>
    <t>Kasumi (DoA)</t>
  </si>
  <si>
    <t>C064</t>
  </si>
  <si>
    <t>Misaki</t>
  </si>
  <si>
    <t>"Venus Vacation" Event construction, drop, exchange</t>
  </si>
  <si>
    <t>C065</t>
  </si>
  <si>
    <t>Nagisa</t>
  </si>
  <si>
    <t>C066</t>
  </si>
  <si>
    <t>Nyotengu</t>
  </si>
  <si>
    <t>"Venus Vacation" Event reward</t>
  </si>
  <si>
    <t>C067</t>
  </si>
  <si>
    <t>Monica</t>
  </si>
  <si>
    <t>C071</t>
  </si>
  <si>
    <t>Haruka Amami</t>
  </si>
  <si>
    <t>Idolmaster</t>
  </si>
  <si>
    <t>C072</t>
  </si>
  <si>
    <t>Chihaya Kisaragi</t>
  </si>
  <si>
    <t>C073</t>
  </si>
  <si>
    <t>Iori Minase</t>
  </si>
  <si>
    <t>C074</t>
  </si>
  <si>
    <t>Azusa Miura</t>
  </si>
  <si>
    <t>C075</t>
  </si>
  <si>
    <t>Ritsuko Akizuki</t>
  </si>
  <si>
    <t>C076</t>
  </si>
  <si>
    <t>Ami Futami</t>
  </si>
  <si>
    <t>C077</t>
  </si>
  <si>
    <t>Mami Futami</t>
  </si>
  <si>
    <t>P001</t>
  </si>
  <si>
    <t>Priority</t>
  </si>
  <si>
    <t>Research</t>
  </si>
  <si>
    <t>P002</t>
  </si>
  <si>
    <t>P003</t>
  </si>
  <si>
    <t>P004</t>
  </si>
  <si>
    <t>P005</t>
  </si>
  <si>
    <t>P006</t>
  </si>
  <si>
    <t>P007</t>
  </si>
  <si>
    <t>P008</t>
  </si>
  <si>
    <t>P009</t>
  </si>
  <si>
    <t>P010</t>
  </si>
  <si>
    <t>CB</t>
  </si>
  <si>
    <t>Decisive</t>
  </si>
  <si>
    <t>P011</t>
  </si>
  <si>
    <t>P012</t>
  </si>
  <si>
    <t>P013</t>
  </si>
  <si>
    <t>Cheshire</t>
  </si>
  <si>
    <t>P014</t>
  </si>
  <si>
    <t>Drake</t>
  </si>
  <si>
    <t>P015</t>
  </si>
  <si>
    <t>Mainz</t>
  </si>
  <si>
    <t>P016</t>
  </si>
  <si>
    <t>Odin</t>
  </si>
  <si>
    <t>P017</t>
  </si>
  <si>
    <t>Champagne</t>
  </si>
  <si>
    <t>P018</t>
  </si>
  <si>
    <t>Anchorage</t>
  </si>
  <si>
    <t>P019</t>
  </si>
  <si>
    <t>Hakuryuu</t>
  </si>
  <si>
    <t>P020</t>
  </si>
  <si>
    <t>Ägir</t>
  </si>
  <si>
    <t>P021</t>
  </si>
  <si>
    <t>August von Parseval</t>
  </si>
  <si>
    <t>P022</t>
  </si>
  <si>
    <t>Marco Polo</t>
  </si>
  <si>
    <t>Le Terrible</t>
  </si>
  <si>
    <t>Maillé Brézé</t>
  </si>
  <si>
    <t>C081</t>
  </si>
  <si>
    <t>Rikka Takarada</t>
  </si>
  <si>
    <t>SSSS</t>
  </si>
  <si>
    <t>C083</t>
  </si>
  <si>
    <t>Hass</t>
  </si>
  <si>
    <t>Foch</t>
  </si>
  <si>
    <t>New Orleans</t>
  </si>
  <si>
    <t>14-4 (BN)</t>
  </si>
  <si>
    <t>Drop only</t>
  </si>
  <si>
    <t>C084</t>
  </si>
  <si>
    <t>Namiko</t>
  </si>
  <si>
    <t>C085</t>
  </si>
  <si>
    <t>Yume Minami</t>
  </si>
  <si>
    <t>C082</t>
  </si>
  <si>
    <t>Akane Shinjo</t>
  </si>
  <si>
    <t>C087</t>
  </si>
  <si>
    <t>Mujina</t>
  </si>
  <si>
    <t>C086</t>
  </si>
  <si>
    <t>Chise Asukagawa</t>
  </si>
  <si>
    <t>Ulrich von Hutten</t>
  </si>
  <si>
    <t>"Tower of Transcendence" Event construction</t>
  </si>
  <si>
    <t>A07</t>
  </si>
  <si>
    <t>Gneisenau META</t>
  </si>
  <si>
    <t>Prinz Adalbert</t>
  </si>
  <si>
    <t>Magdeburg</t>
  </si>
  <si>
    <t>"Tower of Transcendence" Event construction/drop/exchange</t>
  </si>
  <si>
    <t>A06</t>
  </si>
  <si>
    <t>Hiyou META</t>
  </si>
  <si>
    <t>Elbe</t>
  </si>
  <si>
    <t>U-1206</t>
  </si>
  <si>
    <t>"Tower of Transcendence" Event reward</t>
  </si>
  <si>
    <t>Skill 1</t>
  </si>
  <si>
    <t>Skill 2</t>
  </si>
  <si>
    <t>Retro Skill</t>
  </si>
  <si>
    <t>All Out Assault</t>
  </si>
  <si>
    <t>Bonus (Max LB)</t>
  </si>
  <si>
    <t>Gear 1</t>
  </si>
  <si>
    <t>Gear 2</t>
  </si>
  <si>
    <t>Gear 3</t>
  </si>
  <si>
    <t>Efficiency</t>
  </si>
  <si>
    <t>Universal Bulin</t>
  </si>
  <si>
    <t>--</t>
  </si>
  <si>
    <t>100/100/100</t>
  </si>
  <si>
    <t>Prototype Bulin</t>
  </si>
  <si>
    <t>Far East Comrades</t>
  </si>
  <si>
    <t>Farragut, 10 shots</t>
  </si>
  <si>
    <t>Utility Bonus</t>
  </si>
  <si>
    <t>Torpedo</t>
  </si>
  <si>
    <t>120/130/130</t>
  </si>
  <si>
    <t>Baptismal Flames</t>
  </si>
  <si>
    <t>Mahan, 10 shots</t>
  </si>
  <si>
    <t>Gun Bonus</t>
  </si>
  <si>
    <t>Quick Reload</t>
  </si>
  <si>
    <t>125/135/130</t>
  </si>
  <si>
    <t>Torpedo Command: DD</t>
  </si>
  <si>
    <t>Double Torpedo</t>
  </si>
  <si>
    <t>Gridley, 10 shots</t>
  </si>
  <si>
    <t>Torpedo Bonus</t>
  </si>
  <si>
    <t>115/135/125</t>
  </si>
  <si>
    <t>Aquatic Vortex</t>
  </si>
  <si>
    <t>115/140/125</t>
  </si>
  <si>
    <t>Sister's Temperament</t>
  </si>
  <si>
    <t>Tactical Command: DD</t>
  </si>
  <si>
    <t>Fletcher, 10 shots</t>
  </si>
  <si>
    <t>31-Knot Burke</t>
  </si>
  <si>
    <t>Full Firepower</t>
  </si>
  <si>
    <t>125/130/130</t>
  </si>
  <si>
    <t>Air Raid Assistance</t>
  </si>
  <si>
    <t>Benson, 10 shots</t>
  </si>
  <si>
    <t>130/130/125</t>
  </si>
  <si>
    <t>Wargod of Solomon</t>
  </si>
  <si>
    <t>Laffey, 10 shots</t>
  </si>
  <si>
    <t>140/125/125</t>
  </si>
  <si>
    <t>Annihilation Mode</t>
  </si>
  <si>
    <t>165/125/125</t>
  </si>
  <si>
    <t>Artillery Command: DD</t>
  </si>
  <si>
    <t>Sims, 10 shots</t>
  </si>
  <si>
    <t>Smokescreen</t>
  </si>
  <si>
    <t>125/130/135</t>
  </si>
  <si>
    <t>Flagship Cover</t>
  </si>
  <si>
    <t>Anti-Air Mode</t>
  </si>
  <si>
    <t>Operation Rainbow</t>
  </si>
  <si>
    <t>Eldridge, 10 shots</t>
  </si>
  <si>
    <t>115/130/125</t>
  </si>
  <si>
    <t>Prototype Destroyer</t>
  </si>
  <si>
    <t>A-class, 10 shots</t>
  </si>
  <si>
    <t>120/135/105</t>
  </si>
  <si>
    <t>Practical Teaching</t>
  </si>
  <si>
    <t>120/135/115</t>
  </si>
  <si>
    <t>Death Raid</t>
  </si>
  <si>
    <t>115/145/105</t>
  </si>
  <si>
    <t>115/150/110</t>
  </si>
  <si>
    <t>Carrier Escort</t>
  </si>
  <si>
    <t>Interference</t>
  </si>
  <si>
    <t>120/140/105</t>
  </si>
  <si>
    <t>120/145/110</t>
  </si>
  <si>
    <t>Emergency Evasion</t>
  </si>
  <si>
    <t>B-class, 10 shots</t>
  </si>
  <si>
    <t>C-class, 10 shots</t>
  </si>
  <si>
    <t>120/140/110</t>
  </si>
  <si>
    <t>125/135/110</t>
  </si>
  <si>
    <t>Reload Command: DD</t>
  </si>
  <si>
    <t>F-class, 10 shots</t>
  </si>
  <si>
    <t>Flank Defense</t>
  </si>
  <si>
    <t>Emergency Maneuvers</t>
  </si>
  <si>
    <t>G-class, 10 shots</t>
  </si>
  <si>
    <t>135/130/105</t>
  </si>
  <si>
    <t>Meteor Headbutt</t>
  </si>
  <si>
    <t>Glowworm, 10 shots</t>
  </si>
  <si>
    <t>130/135/105</t>
  </si>
  <si>
    <t>Concerto of Unfreezing Port</t>
  </si>
  <si>
    <t>Star of the Shimmering Fjord</t>
  </si>
  <si>
    <t>H-class, 10 shots</t>
  </si>
  <si>
    <t>Rapid Response</t>
  </si>
  <si>
    <t>125/130/105</t>
  </si>
  <si>
    <t>Javelin Raid</t>
  </si>
  <si>
    <t>Javelin, 10 shots</t>
  </si>
  <si>
    <t>120/150/105</t>
  </si>
  <si>
    <t>Assault Mode</t>
  </si>
  <si>
    <t>125/155/105</t>
  </si>
  <si>
    <t>J-class, 10 shots</t>
  </si>
  <si>
    <t>Vampire's Kiss</t>
  </si>
  <si>
    <t>Vampire, 10 shots</t>
  </si>
  <si>
    <t>Special Lead Ship</t>
  </si>
  <si>
    <t>Fubuki, 10 shots</t>
  </si>
  <si>
    <t>75/160/75</t>
  </si>
  <si>
    <t>Strike Orders Received!</t>
  </si>
  <si>
    <t>Torpedo Orders Received!</t>
  </si>
  <si>
    <t>Demon God</t>
  </si>
  <si>
    <t>Ayanami, 10 shots</t>
  </si>
  <si>
    <t>80/160/75</t>
  </si>
  <si>
    <t>Demon Dance</t>
  </si>
  <si>
    <r>
      <rPr/>
      <t>85/</t>
    </r>
    <r>
      <rPr>
        <b/>
      </rPr>
      <t>165</t>
    </r>
    <r>
      <rPr/>
      <t>/75</t>
    </r>
  </si>
  <si>
    <t>DD Division 6</t>
  </si>
  <si>
    <t>Akatsuki, 10 shots</t>
  </si>
  <si>
    <t>75/150/75</t>
  </si>
  <si>
    <t>Phoenix's Plumage</t>
  </si>
  <si>
    <t>75/155/75</t>
  </si>
  <si>
    <t>Torpedo Command: VG</t>
  </si>
  <si>
    <t>Shiratsuyu, 10 shots</t>
  </si>
  <si>
    <t>Nightmare of Solomon</t>
  </si>
  <si>
    <t>Yuudachi, 10 shots</t>
  </si>
  <si>
    <t>85/150/85</t>
  </si>
  <si>
    <t>Nightmare of Solomon +</t>
  </si>
  <si>
    <t>Feral Claws</t>
  </si>
  <si>
    <t>Yuudachi, 16 shots</t>
  </si>
  <si>
    <t>100/160/85</t>
  </si>
  <si>
    <t>Shigure of Sasebo</t>
  </si>
  <si>
    <t>Dance of Wind and Rain</t>
  </si>
  <si>
    <r>
      <rPr>
        <rFont val="arial,sans,sans-serif"/>
      </rPr>
      <t>85/</t>
    </r>
    <r>
      <rPr>
        <rFont val="arial,sans,sans-serif"/>
        <b/>
      </rPr>
      <t>165</t>
    </r>
    <r>
      <rPr>
        <rFont val="arial,sans,sans-serif"/>
      </rPr>
      <t>/75</t>
    </r>
  </si>
  <si>
    <t>Yukikaze of Kure</t>
  </si>
  <si>
    <t>Unsinkable Lucky Ship</t>
  </si>
  <si>
    <t>Yukikaze, 10 shots</t>
  </si>
  <si>
    <t>Torpedo Command: Van</t>
  </si>
  <si>
    <t>Kagerou, 10 shots</t>
  </si>
  <si>
    <t>80/155/75</t>
  </si>
  <si>
    <r>
      <rPr/>
      <t>80/</t>
    </r>
    <r>
      <rPr>
        <b/>
      </rPr>
      <t>165</t>
    </r>
    <r>
      <rPr/>
      <t>/75</t>
    </r>
  </si>
  <si>
    <t>Lucky(?) Ship</t>
  </si>
  <si>
    <t>Hatsuharu, 10 shots</t>
  </si>
  <si>
    <t>75/155/80</t>
  </si>
  <si>
    <t>Z Vanguard</t>
  </si>
  <si>
    <t>Z-class, 10 shots</t>
  </si>
  <si>
    <t>125/140/75</t>
  </si>
  <si>
    <t>Destruction Mode - Prot</t>
  </si>
  <si>
    <t>155/155/85</t>
  </si>
  <si>
    <t>Ironblood Vanguard</t>
  </si>
  <si>
    <t>Z23, 10 shots</t>
  </si>
  <si>
    <t>DD/CL</t>
  </si>
  <si>
    <t>160/120/75</t>
  </si>
  <si>
    <t>Destruction Mode</t>
  </si>
  <si>
    <r>
      <rPr>
        <b/>
      </rPr>
      <t>175</t>
    </r>
    <r>
      <rPr/>
      <t>/120/85</t>
    </r>
  </si>
  <si>
    <t>1936A, 10 shots</t>
  </si>
  <si>
    <t>An Shan Lead Ship</t>
  </si>
  <si>
    <t>An Shan, 10 shots</t>
  </si>
  <si>
    <t>155/100/105</t>
  </si>
  <si>
    <t>Rezkiy Assault</t>
  </si>
  <si>
    <t>Mutual Assistance</t>
  </si>
  <si>
    <t>United As One</t>
  </si>
  <si>
    <t>135/135/125</t>
  </si>
  <si>
    <t>Piercing Shells</t>
  </si>
  <si>
    <t>1936, 10 shots</t>
  </si>
  <si>
    <t>115/140/75</t>
  </si>
  <si>
    <t>Iron Wing Annihilation</t>
  </si>
  <si>
    <t>Z46, 10 shots</t>
  </si>
  <si>
    <r>
      <rPr/>
      <t>160/120/</t>
    </r>
    <r>
      <rPr>
        <b/>
      </rPr>
      <t>140</t>
    </r>
  </si>
  <si>
    <t>Upon the Wind's Edge</t>
  </si>
  <si>
    <t>Before the Lightning's Flash</t>
  </si>
  <si>
    <t>Within the Thunder's Roar</t>
  </si>
  <si>
    <t>Shimakaze, 10 shots</t>
  </si>
  <si>
    <t>85/170/90</t>
  </si>
  <si>
    <t>Veteran Techniques</t>
  </si>
  <si>
    <t>Kamikaze, 10 shots</t>
  </si>
  <si>
    <t>75/140/75</t>
  </si>
  <si>
    <t>First Destroyer</t>
  </si>
  <si>
    <t>75/145/80</t>
  </si>
  <si>
    <t>Mutsuki, 10 shots</t>
  </si>
  <si>
    <t>75/145/75</t>
  </si>
  <si>
    <t>75/150/80</t>
  </si>
  <si>
    <t>75/150/85</t>
  </si>
  <si>
    <t>Reverent and Graceful</t>
  </si>
  <si>
    <t>Delicate but Devoted</t>
  </si>
  <si>
    <t>Motivating Roooaaar</t>
  </si>
  <si>
    <t>Lunga Point's Strike</t>
  </si>
  <si>
    <t>Impartial Destruction</t>
  </si>
  <si>
    <t>Kawakaze, 10 shots</t>
  </si>
  <si>
    <t>Lightning Strikes Twice</t>
  </si>
  <si>
    <t>Yuugumo, 10 shots</t>
  </si>
  <si>
    <t>Reload Order</t>
  </si>
  <si>
    <t>Akizuki, 16 shots</t>
  </si>
  <si>
    <t>100/135/135</t>
  </si>
  <si>
    <t>Aerial Support</t>
  </si>
  <si>
    <t>The Nick</t>
  </si>
  <si>
    <t>Battle of Kula Gulf</t>
  </si>
  <si>
    <t>140/140/130</t>
  </si>
  <si>
    <t>Battleship Escort</t>
  </si>
  <si>
    <t>Dark Side of Fate</t>
  </si>
  <si>
    <t>Rescue Operations</t>
  </si>
  <si>
    <t>Accompanying Wind</t>
  </si>
  <si>
    <r>
      <rPr/>
      <t>80/</t>
    </r>
    <r>
      <rPr>
        <b/>
      </rPr>
      <t>165</t>
    </r>
    <r>
      <rPr/>
      <t>/75</t>
    </r>
  </si>
  <si>
    <t>Miracle Wind</t>
  </si>
  <si>
    <t>Target Designator - Torp</t>
  </si>
  <si>
    <r>
      <rPr/>
      <t>80/</t>
    </r>
    <r>
      <rPr>
        <b/>
      </rPr>
      <t>165</t>
    </r>
    <r>
      <rPr/>
      <t>/75</t>
    </r>
  </si>
  <si>
    <t>M-class, 10 shots</t>
  </si>
  <si>
    <t>120/145/100</t>
  </si>
  <si>
    <t>Calibrated Firing</t>
  </si>
  <si>
    <t>8th DD Division</t>
  </si>
  <si>
    <t>Anti-Destroyer Tactics</t>
  </si>
  <si>
    <t>Asashio, 10 shots</t>
  </si>
  <si>
    <t>Ramming Prohibited</t>
  </si>
  <si>
    <t>Overload Firepower</t>
  </si>
  <si>
    <t>1936B, 10 shots</t>
  </si>
  <si>
    <t>150/120/125</t>
  </si>
  <si>
    <t>Radiant Iris</t>
  </si>
  <si>
    <t>Sword or Shield</t>
  </si>
  <si>
    <t>Le Fantasque, 10 shots</t>
  </si>
  <si>
    <r>
      <rPr/>
      <t>140/125/</t>
    </r>
    <r>
      <rPr>
        <b/>
      </rPr>
      <t>140</t>
    </r>
  </si>
  <si>
    <t>Chevalier's Bouclier</t>
  </si>
  <si>
    <t>L'Adroit, 10 shots</t>
  </si>
  <si>
    <t>120/145/80</t>
  </si>
  <si>
    <t>Chevalier's Sabre</t>
  </si>
  <si>
    <t>Anti-Air Alert</t>
  </si>
  <si>
    <t>120/130/135</t>
  </si>
  <si>
    <t>Bold but Reckless</t>
  </si>
  <si>
    <t>Swift Defender</t>
  </si>
  <si>
    <t>Le Hardi, 10 shots</t>
  </si>
  <si>
    <t>130/115/75</t>
  </si>
  <si>
    <t>Little Star</t>
  </si>
  <si>
    <t>Wind's Protection</t>
  </si>
  <si>
    <t>Anti-Air Vigilance</t>
  </si>
  <si>
    <t>Miracle Within the Flames</t>
  </si>
  <si>
    <t>Morale Boost</t>
  </si>
  <si>
    <t>1934, 10 shots</t>
  </si>
  <si>
    <t>Devilish Strike</t>
  </si>
  <si>
    <t>145/125/125</t>
  </si>
  <si>
    <t>E-class, 10 shots</t>
  </si>
  <si>
    <t>Poisonous Sting</t>
  </si>
  <si>
    <t>Vichya's Vindictive Blade</t>
  </si>
  <si>
    <t>Le Malin, 10 shots</t>
  </si>
  <si>
    <t>150/125/120</t>
  </si>
  <si>
    <t>Never Admits Defeat</t>
  </si>
  <si>
    <t>Mobile Fleet Vanguard</t>
  </si>
  <si>
    <t>130/135/75</t>
  </si>
  <si>
    <t>Windy Becky</t>
  </si>
  <si>
    <t>Ricarica!</t>
  </si>
  <si>
    <t>Fuoco di Copertura!</t>
  </si>
  <si>
    <t>Soldati, 10 shots</t>
  </si>
  <si>
    <t>Foo and Friends</t>
  </si>
  <si>
    <t>80/150/75</t>
  </si>
  <si>
    <t>Foo, Friends and Kasumi Too</t>
  </si>
  <si>
    <t>85/155/75</t>
  </si>
  <si>
    <t>Comprehensive Defense</t>
  </si>
  <si>
    <t>Gnevny, 10 shots</t>
  </si>
  <si>
    <t>155/100/110</t>
  </si>
  <si>
    <t>Mobility Mastery</t>
  </si>
  <si>
    <t>Minsk, 10 shots</t>
  </si>
  <si>
    <t>155/110/100</t>
  </si>
  <si>
    <t>The Blue Cruiser</t>
  </si>
  <si>
    <t>Trajectory Marking</t>
  </si>
  <si>
    <t>Tashkent, 10 shots</t>
  </si>
  <si>
    <t>165/125/105</t>
  </si>
  <si>
    <t>Black Cat Cyclone</t>
  </si>
  <si>
    <t>Allen Sumner, 10 shots</t>
  </si>
  <si>
    <t>105/135/135</t>
  </si>
  <si>
    <t>Legacy of Lunga Point</t>
  </si>
  <si>
    <t>Arbiter of Z</t>
  </si>
  <si>
    <t>Vauquelin, 10 shots</t>
  </si>
  <si>
    <t>140/140/75</t>
  </si>
  <si>
    <t>Sonnez le Charge!</t>
  </si>
  <si>
    <t>Eskimo, Attack!</t>
  </si>
  <si>
    <t>Tribal, 16 shots</t>
  </si>
  <si>
    <t>100/135/100</t>
  </si>
  <si>
    <t>All Out Assault, Open Fire!</t>
  </si>
  <si>
    <t>Torpedo Mode? ...Sure!</t>
  </si>
  <si>
    <t>I-Class, 10 shots</t>
  </si>
  <si>
    <t>Anti-Torpedo Field</t>
  </si>
  <si>
    <t>Breaking Through!</t>
  </si>
  <si>
    <t>Causing Confusion!</t>
  </si>
  <si>
    <t>Suzutsuki, 16 shots</t>
  </si>
  <si>
    <t>110/135/145</t>
  </si>
  <si>
    <t>Beckoning of Ice</t>
  </si>
  <si>
    <t>Blue-Purple Tenacity</t>
  </si>
  <si>
    <t>Tashkent μ, 10 shots</t>
  </si>
  <si>
    <t>Heavenly Hymn</t>
  </si>
  <si>
    <t>Moment of Slackery</t>
  </si>
  <si>
    <t>Le Malin μ, 10 shots</t>
  </si>
  <si>
    <t>Boon of Crimson Darkness</t>
  </si>
  <si>
    <t>Fiendish Rampage</t>
  </si>
  <si>
    <t>I Love My Sisters!</t>
  </si>
  <si>
    <t>I'll Protect the Vanguard!</t>
  </si>
  <si>
    <t>Ontological Rudder</t>
  </si>
  <si>
    <t>Protologia of Illumination</t>
  </si>
  <si>
    <t>Oriani, 10 shots</t>
  </si>
  <si>
    <t>Scalawaggish Little Snowball</t>
  </si>
  <si>
    <t>Thunderous Guardian</t>
  </si>
  <si>
    <t>Silent Advance</t>
  </si>
  <si>
    <t>160/110/110</t>
  </si>
  <si>
    <t>Selfless Aid</t>
  </si>
  <si>
    <t>The Northwesterly Wind</t>
  </si>
  <si>
    <t>Northwesterly Ace Student</t>
  </si>
  <si>
    <t>Maestrale, 10 shots</t>
  </si>
  <si>
    <t>140/130/110</t>
  </si>
  <si>
    <t>The Southwesterly Wind</t>
  </si>
  <si>
    <t>Southwesterly Sailor</t>
  </si>
  <si>
    <t>The Exploration Sensation</t>
  </si>
  <si>
    <t>Navigator's Interpidity</t>
  </si>
  <si>
    <t>Navigatori, 10 shots</t>
  </si>
  <si>
    <t>150/120/85</t>
  </si>
  <si>
    <t>Dutiful Support</t>
  </si>
  <si>
    <t>Shooting Gun-Star</t>
  </si>
  <si>
    <t>Bang for Your Buck</t>
  </si>
  <si>
    <t>135/135/160</t>
  </si>
  <si>
    <t>Whimsical Protector</t>
  </si>
  <si>
    <t>Emergency Beardrop</t>
  </si>
  <si>
    <t>Gales and Thunder</t>
  </si>
  <si>
    <t>Kazagumo's Air Raid Assistance</t>
  </si>
  <si>
    <t>Kazagumo, 10 shots</t>
  </si>
  <si>
    <t>85/160/80</t>
  </si>
  <si>
    <t>Support Robot Mk IV</t>
  </si>
  <si>
    <t>Combat Mechanic</t>
  </si>
  <si>
    <t>Ingraham, 10 shots</t>
  </si>
  <si>
    <t>135/135/180</t>
  </si>
  <si>
    <t>Terrific Terror</t>
  </si>
  <si>
    <t>I'll Give You A Head Start~</t>
  </si>
  <si>
    <t>Le Terrible, 10 shots</t>
  </si>
  <si>
    <t>Templar's Holy Advance</t>
  </si>
  <si>
    <t>Silt Break</t>
  </si>
  <si>
    <t>Tanzerin Trombe</t>
  </si>
  <si>
    <t>Getter Ravine</t>
  </si>
  <si>
    <t>Kizuna Beam</t>
  </si>
  <si>
    <t>Crisis Prevention!</t>
  </si>
  <si>
    <t>75/160/105</t>
  </si>
  <si>
    <t>Mach 2.42 Blossom</t>
  </si>
  <si>
    <t>Two-Faced Fox</t>
  </si>
  <si>
    <t>Bomber</t>
  </si>
  <si>
    <t>85/150/80</t>
  </si>
  <si>
    <t>Summer Flower We Watch</t>
  </si>
  <si>
    <t>The Third Day of Flirting</t>
  </si>
  <si>
    <t>75/125/105</t>
  </si>
  <si>
    <t>Rose's Thorns</t>
  </si>
  <si>
    <t>Vibrant Minuet</t>
  </si>
  <si>
    <t>125/140/115</t>
  </si>
  <si>
    <t>Horizon Splitter</t>
  </si>
  <si>
    <t>Lotus Torpedoes+</t>
  </si>
  <si>
    <t>Siren Killer</t>
  </si>
  <si>
    <t>Kitakaze, 16 shots</t>
  </si>
  <si>
    <t>Main Gun</t>
  </si>
  <si>
    <t>Torp Cap</t>
  </si>
  <si>
    <t>Torp Preload</t>
  </si>
  <si>
    <t>AA Mount</t>
  </si>
  <si>
    <t>Omaha, 8 shots</t>
  </si>
  <si>
    <t>120/155/130</t>
  </si>
  <si>
    <t>Artillery Command: CR</t>
  </si>
  <si>
    <t>Brooklyn, 10 shots</t>
  </si>
  <si>
    <t>135/65/100</t>
  </si>
  <si>
    <t>Crimson Phoenix</t>
  </si>
  <si>
    <t>Radar Scan</t>
  </si>
  <si>
    <t>Radar Scan Plus</t>
  </si>
  <si>
    <t>Wonder of Kula Gulf</t>
  </si>
  <si>
    <t>140/65/115</t>
  </si>
  <si>
    <t>Anti-Air Command: CR</t>
  </si>
  <si>
    <t>Atlanta, 10 shots</t>
  </si>
  <si>
    <t>105/135/160</t>
  </si>
  <si>
    <t>Martyr</t>
  </si>
  <si>
    <t>I am No. 1!</t>
  </si>
  <si>
    <t>Atlanta, 8 shots</t>
  </si>
  <si>
    <t>105/135/170</t>
  </si>
  <si>
    <t>Song of the Stars</t>
  </si>
  <si>
    <t>San Diego, 16 shots</t>
  </si>
  <si>
    <r>
      <rPr/>
      <t>115/135/</t>
    </r>
    <r>
      <rPr>
        <b/>
      </rPr>
      <t>185</t>
    </r>
  </si>
  <si>
    <t>Assault Order</t>
  </si>
  <si>
    <t>Cleveland, 10 shots</t>
  </si>
  <si>
    <t>130/70/120</t>
  </si>
  <si>
    <t>Flagship Protection</t>
  </si>
  <si>
    <t>Leander, 8 shots</t>
  </si>
  <si>
    <t>120/160/130</t>
  </si>
  <si>
    <t>135/165/130</t>
  </si>
  <si>
    <t>145/155/100</t>
  </si>
  <si>
    <t>Giant Hunter</t>
  </si>
  <si>
    <r>
      <rPr>
        <b/>
      </rPr>
      <t>160</t>
    </r>
    <r>
      <rPr/>
      <t>/160/100</t>
    </r>
  </si>
  <si>
    <r>
      <rPr>
        <b/>
      </rPr>
      <t>160</t>
    </r>
    <r>
      <rPr/>
      <t>/160/100</t>
    </r>
  </si>
  <si>
    <t>Dido's Aria</t>
  </si>
  <si>
    <t>For the Queen</t>
  </si>
  <si>
    <t>Dido, 10 shots</t>
  </si>
  <si>
    <t>140/130/135</t>
  </si>
  <si>
    <t>Southampton, 8 shots</t>
  </si>
  <si>
    <t>135/130/110</t>
  </si>
  <si>
    <t>Shiny Sheff</t>
  </si>
  <si>
    <t>Attack of Barents Sea</t>
  </si>
  <si>
    <t>150/150/110</t>
  </si>
  <si>
    <t>Ammunition Command</t>
  </si>
  <si>
    <t>The Fighting G</t>
  </si>
  <si>
    <t>Gloucester, 8 shots</t>
  </si>
  <si>
    <t>Edinburgh, 8 shots</t>
  </si>
  <si>
    <t>150/155/100</t>
  </si>
  <si>
    <t>Burn Order</t>
  </si>
  <si>
    <t>Smokescreen - CL</t>
  </si>
  <si>
    <t>Belfast, 8 shots</t>
  </si>
  <si>
    <t>Arethusa, 8 shots</t>
  </si>
  <si>
    <t>130/155/130</t>
  </si>
  <si>
    <t>Silver Phantom</t>
  </si>
  <si>
    <t>Dawn</t>
  </si>
  <si>
    <t>135/155/130</t>
  </si>
  <si>
    <t>Prototype Cruiser</t>
  </si>
  <si>
    <t>Yuubari, 8 shots</t>
  </si>
  <si>
    <t>110/160/125</t>
  </si>
  <si>
    <t>Erratic Inventor</t>
  </si>
  <si>
    <t>125/165/125</t>
  </si>
  <si>
    <t>Nagara, 8 shots</t>
  </si>
  <si>
    <t>105/140/160</t>
  </si>
  <si>
    <t>I'm Not Afraid Anymore!</t>
  </si>
  <si>
    <t>105/145/175</t>
  </si>
  <si>
    <t>Sunglint Phantasm</t>
  </si>
  <si>
    <t>Blessed Self</t>
  </si>
  <si>
    <t>120/165/125</t>
  </si>
  <si>
    <t>Demonblade</t>
  </si>
  <si>
    <t>120/165/130</t>
  </si>
  <si>
    <t>Demon's Wish</t>
  </si>
  <si>
    <t>120/180/130</t>
  </si>
  <si>
    <t>115/175/125</t>
  </si>
  <si>
    <t>AP Protection</t>
  </si>
  <si>
    <t>Mogami, 8 shots</t>
  </si>
  <si>
    <t>110/160/100</t>
  </si>
  <si>
    <t>Carrier Protection</t>
  </si>
  <si>
    <t>Reload Command: CR</t>
  </si>
  <si>
    <t>Konigsberg, 8 shots</t>
  </si>
  <si>
    <t>Disturbance Strategy</t>
  </si>
  <si>
    <t>120/170/135</t>
  </si>
  <si>
    <t>Kolibri Assault</t>
  </si>
  <si>
    <t>Tactical Command: CR</t>
  </si>
  <si>
    <t>Leipzig, 8 shots</t>
  </si>
  <si>
    <t>125/160/130</t>
  </si>
  <si>
    <t>Safety First</t>
  </si>
  <si>
    <t>125/175/135</t>
  </si>
  <si>
    <t>Dragon Empery Bond</t>
  </si>
  <si>
    <t>For the Dragon Empery</t>
  </si>
  <si>
    <t>Yat Sen, 12 shots</t>
  </si>
  <si>
    <t>130/120/80</t>
  </si>
  <si>
    <t>Sisterly Bond</t>
  </si>
  <si>
    <t>Ning Hai, 8 shots</t>
  </si>
  <si>
    <t>Warrior Soul</t>
  </si>
  <si>
    <t>145/155/135</t>
  </si>
  <si>
    <t>Revolyutsiya</t>
  </si>
  <si>
    <t>Avrora, 8 shots</t>
  </si>
  <si>
    <t>130/125/80</t>
  </si>
  <si>
    <t>Lucky Lou</t>
  </si>
  <si>
    <t>Torpedo Fleet</t>
  </si>
  <si>
    <t>Sendai, 8 shots</t>
  </si>
  <si>
    <t>120/165/115</t>
  </si>
  <si>
    <t>Flares</t>
  </si>
  <si>
    <r>
      <rPr/>
      <t>125/</t>
    </r>
    <r>
      <rPr>
        <b/>
      </rPr>
      <t>180</t>
    </r>
    <r>
      <rPr/>
      <t>/115</t>
    </r>
  </si>
  <si>
    <t>2nd Torpedo Squadron</t>
  </si>
  <si>
    <t>Unyeilding Beast</t>
  </si>
  <si>
    <r>
      <rPr/>
      <t>125/</t>
    </r>
    <r>
      <rPr>
        <b/>
      </rPr>
      <t>180</t>
    </r>
    <r>
      <rPr/>
      <t>/115</t>
    </r>
  </si>
  <si>
    <t>Agano, 8 shots</t>
  </si>
  <si>
    <t>100/170/100</t>
  </si>
  <si>
    <t>Noshiro's Hoarfrost</t>
  </si>
  <si>
    <t>Skyslayer's Edge</t>
  </si>
  <si>
    <t>Noshiro, 8 shots</t>
  </si>
  <si>
    <t>125/175/110</t>
  </si>
  <si>
    <t>Crete's Black Cloud</t>
  </si>
  <si>
    <t>Fiji, 8 shots</t>
  </si>
  <si>
    <t>140/155/110</t>
  </si>
  <si>
    <t>Allies of Justice</t>
  </si>
  <si>
    <t>Legend of the Solomons</t>
  </si>
  <si>
    <t>130/75/120</t>
  </si>
  <si>
    <t>Perfect Chibi Maid</t>
  </si>
  <si>
    <t>Ladies' Tea Time</t>
  </si>
  <si>
    <t>140/150/100</t>
  </si>
  <si>
    <t>Heart of Iris</t>
  </si>
  <si>
    <t>Destroyer Squadron</t>
  </si>
  <si>
    <t>Emile Bertin, 10 shots</t>
  </si>
  <si>
    <t>140/155/100</t>
  </si>
  <si>
    <t>Messenger of Love</t>
  </si>
  <si>
    <t>145/155/115</t>
  </si>
  <si>
    <t>125/155/125</t>
  </si>
  <si>
    <t>140/125/145</t>
  </si>
  <si>
    <t>Artillery Command: VG</t>
  </si>
  <si>
    <t>155/125/145</t>
  </si>
  <si>
    <t>125/150/130</t>
  </si>
  <si>
    <t>Mark of Sirius</t>
  </si>
  <si>
    <t>Cover Fire</t>
  </si>
  <si>
    <t>Sirius, 10 shots</t>
  </si>
  <si>
    <t>130/130/130</t>
  </si>
  <si>
    <t>Ceres, 16 shots</t>
  </si>
  <si>
    <t>115/80/80</t>
  </si>
  <si>
    <t>Anti-Air Command: VG</t>
  </si>
  <si>
    <t>120/90/90</t>
  </si>
  <si>
    <t>115/90/90</t>
  </si>
  <si>
    <t>Youthful Light</t>
  </si>
  <si>
    <t>Girls' Support</t>
  </si>
  <si>
    <t>Calibur's Heart</t>
  </si>
  <si>
    <t>Calibur's Carrier</t>
  </si>
  <si>
    <t>120/65/120</t>
  </si>
  <si>
    <t>Starlit Debut</t>
  </si>
  <si>
    <t>Sparkling Star</t>
  </si>
  <si>
    <t>100/115/165</t>
  </si>
  <si>
    <t>Anti-Air Order</t>
  </si>
  <si>
    <t>Advanced FCS</t>
  </si>
  <si>
    <t>Swiftsure, 8 shots</t>
  </si>
  <si>
    <t>155/155/110</t>
  </si>
  <si>
    <t>I'll Handle This!</t>
  </si>
  <si>
    <t>Tenacious Knight</t>
  </si>
  <si>
    <t>Resolute Knight</t>
  </si>
  <si>
    <t>130/65/130</t>
  </si>
  <si>
    <t>Woodstock's Longbow</t>
  </si>
  <si>
    <t>135/130/135</t>
  </si>
  <si>
    <t>Spirited Guidance</t>
  </si>
  <si>
    <t>Passionate Tempo</t>
  </si>
  <si>
    <t>Cleveland (M), 10 shots</t>
  </si>
  <si>
    <t>Armor-Penetrating Arrow</t>
  </si>
  <si>
    <t>Shining Steps</t>
  </si>
  <si>
    <t>Sheffield (M), 8 shots</t>
  </si>
  <si>
    <t>Anti-Surface Switch</t>
  </si>
  <si>
    <t>Protective Blaze</t>
  </si>
  <si>
    <t>Mercurial Memories</t>
  </si>
  <si>
    <t>Kagul, 8 shots</t>
  </si>
  <si>
    <t>120/120/80</t>
  </si>
  <si>
    <t>From Merkuria with Love!</t>
  </si>
  <si>
    <t>125/125/90</t>
  </si>
  <si>
    <t>Kirov, Reporting!</t>
  </si>
  <si>
    <t>Revolutionary Strike</t>
  </si>
  <si>
    <t>Kirov, 8 shots</t>
  </si>
  <si>
    <t>150/135/110</t>
  </si>
  <si>
    <t>Cavalier of the Ether</t>
  </si>
  <si>
    <t>Cavalier's Acumen</t>
  </si>
  <si>
    <t>Chapayev, 10 shots</t>
  </si>
  <si>
    <t>Vigilant Supporter</t>
  </si>
  <si>
    <t>Reno Reactor</t>
  </si>
  <si>
    <t>Reno 8 shots (!)</t>
  </si>
  <si>
    <t>130/140/170</t>
  </si>
  <si>
    <t>La Pucelle</t>
  </si>
  <si>
    <t>Holy Prayer</t>
  </si>
  <si>
    <t>Jeanne d'Arc, 8 shots</t>
  </si>
  <si>
    <t>135/145/100</t>
  </si>
  <si>
    <t>Critical Component Protection</t>
  </si>
  <si>
    <t>Shells of Judgement</t>
  </si>
  <si>
    <t>La Galissonnière, 8 shots</t>
  </si>
  <si>
    <t>135/150/100</t>
  </si>
  <si>
    <t>Bombarda Geminio</t>
  </si>
  <si>
    <t>Supporting Role</t>
  </si>
  <si>
    <t>Hermione, 10 shots</t>
  </si>
  <si>
    <t>140/130/130</t>
  </si>
  <si>
    <t>Lyrical Dedication</t>
  </si>
  <si>
    <t>An Opener to Our Friends</t>
  </si>
  <si>
    <t>135/130/140</t>
  </si>
  <si>
    <t>Follow My Lead.. Please!</t>
  </si>
  <si>
    <t>No Strange Ideas, Please!</t>
  </si>
  <si>
    <t>125/170/140</t>
  </si>
  <si>
    <t>Purge Evil</t>
  </si>
  <si>
    <t>Unfading Dyes</t>
  </si>
  <si>
    <t>Chao Ho, 12 shots</t>
  </si>
  <si>
    <t>100/90/80</t>
  </si>
  <si>
    <t>Cleanse Impurity</t>
  </si>
  <si>
    <t>Enrapturing Dance</t>
  </si>
  <si>
    <t>Heroes of Malta</t>
  </si>
  <si>
    <t>Pepperpot</t>
  </si>
  <si>
    <t>Capricious Firing</t>
  </si>
  <si>
    <t>Laid-Back Defending</t>
  </si>
  <si>
    <t>Halo of Flames</t>
  </si>
  <si>
    <t>Solemn Zealotry</t>
  </si>
  <si>
    <t>Just a Scratch</t>
  </si>
  <si>
    <t>Duca Abruzzi, 8 shots</t>
  </si>
  <si>
    <t>125/160/110</t>
  </si>
  <si>
    <t>The Bigger They Are...</t>
  </si>
  <si>
    <t>Breathe In, Breathe Out</t>
  </si>
  <si>
    <t>130/60/100</t>
  </si>
  <si>
    <t>Shadow-Wing Torch</t>
  </si>
  <si>
    <t>Scanner Hacking</t>
  </si>
  <si>
    <t>Information Addiction</t>
  </si>
  <si>
    <t>Ashen Might - Helena</t>
  </si>
  <si>
    <t>Main Character</t>
  </si>
  <si>
    <t>Cross Combination</t>
  </si>
  <si>
    <t>Blaze Break</t>
  </si>
  <si>
    <t>Victory Slash</t>
  </si>
  <si>
    <t>145/150/100</t>
  </si>
  <si>
    <t>Humble Part-Timer</t>
  </si>
  <si>
    <t>Venus Friends</t>
  </si>
  <si>
    <t>130/70/110</t>
  </si>
  <si>
    <t>Joker Card</t>
  </si>
  <si>
    <t>Royal Flush</t>
  </si>
  <si>
    <t>135/160/110</t>
  </si>
  <si>
    <t>Cutesy Clumsy?</t>
  </si>
  <si>
    <t>An idol's Ambitions</t>
  </si>
  <si>
    <t>Positivity Burst</t>
  </si>
  <si>
    <t>MKV-class AP Shells+</t>
  </si>
  <si>
    <t>Goddess of the Sea</t>
  </si>
  <si>
    <t>Neptune, 8 shots</t>
  </si>
  <si>
    <t>150/160/100</t>
  </si>
  <si>
    <t>No-Fly Zone!+</t>
  </si>
  <si>
    <t>Dual Nock</t>
  </si>
  <si>
    <t>Seattle, 10 shots</t>
  </si>
  <si>
    <t>CL/AA</t>
  </si>
  <si>
    <t>145/65/130</t>
  </si>
  <si>
    <t>Retaliatory Shield</t>
  </si>
  <si>
    <t>Ausgewogen</t>
  </si>
  <si>
    <t>Mainz, 10 shots</t>
  </si>
  <si>
    <t>130/110/110</t>
  </si>
  <si>
    <t>Grid Beam</t>
  </si>
  <si>
    <t>Slash &amp; Circus</t>
  </si>
  <si>
    <t>Grid Fixer Beam</t>
  </si>
  <si>
    <t>CL/Aux</t>
  </si>
  <si>
    <t>Torp/Aux</t>
  </si>
  <si>
    <t>AA/Aux</t>
  </si>
  <si>
    <t>155/160/110</t>
  </si>
  <si>
    <t>Coordinated Volley</t>
  </si>
  <si>
    <t>Amp Laser Circus</t>
  </si>
  <si>
    <t>Torp</t>
  </si>
  <si>
    <t>Get Hyped!</t>
  </si>
  <si>
    <t>Scorching Combo</t>
  </si>
  <si>
    <t>Magdeburg, 8 shots</t>
  </si>
  <si>
    <t>145/135/120</t>
  </si>
  <si>
    <t>Pensacola, 8 shots</t>
  </si>
  <si>
    <t>120/45/105</t>
  </si>
  <si>
    <t>Northampton, 8 shots</t>
  </si>
  <si>
    <t>120/55/105</t>
  </si>
  <si>
    <t>Focused Assault</t>
  </si>
  <si>
    <t>Ghost of Java Coast</t>
  </si>
  <si>
    <t>Best Sister</t>
  </si>
  <si>
    <t>Defense Order</t>
  </si>
  <si>
    <t>Portland, 8 shots</t>
  </si>
  <si>
    <t>110/60/130</t>
  </si>
  <si>
    <t>115/65/135</t>
  </si>
  <si>
    <t>Pandora's Box</t>
  </si>
  <si>
    <t>Vice Defense</t>
  </si>
  <si>
    <t>Nasty Asty</t>
  </si>
  <si>
    <t>Protective Armor</t>
  </si>
  <si>
    <t>New Orleans, 8 shots</t>
  </si>
  <si>
    <t>115/60/130</t>
  </si>
  <si>
    <t>Double Gun</t>
  </si>
  <si>
    <t>Wichita, 8 shots</t>
  </si>
  <si>
    <t>130/55/105</t>
  </si>
  <si>
    <t>APsolute Ammunition</t>
  </si>
  <si>
    <t>Adaptive Tactics</t>
  </si>
  <si>
    <t>Baltimore, 8 shots</t>
  </si>
  <si>
    <t>130/75/135</t>
  </si>
  <si>
    <t>London, 6 shots</t>
  </si>
  <si>
    <t>145/160/100</t>
  </si>
  <si>
    <t>Londinium</t>
  </si>
  <si>
    <t>150/160/115</t>
  </si>
  <si>
    <t>Kent, 6 shots</t>
  </si>
  <si>
    <t>160/165/100</t>
  </si>
  <si>
    <t>Forward Armor</t>
  </si>
  <si>
    <t>Norfolk, 6 shots</t>
  </si>
  <si>
    <t>125/160/120</t>
  </si>
  <si>
    <t>Journey's End</t>
  </si>
  <si>
    <t>125/150/120</t>
  </si>
  <si>
    <t>Armageddon Cannon</t>
  </si>
  <si>
    <t>York, 6 shots</t>
  </si>
  <si>
    <t>140/165/100</t>
  </si>
  <si>
    <t>Terror Field</t>
  </si>
  <si>
    <t>155/165/105</t>
  </si>
  <si>
    <t>145/170/100</t>
  </si>
  <si>
    <t>150/170/115</t>
  </si>
  <si>
    <t>Suppression Fire</t>
  </si>
  <si>
    <t>125/160/105</t>
  </si>
  <si>
    <t>Furutaka, 6 shots</t>
  </si>
  <si>
    <t>125/170/100</t>
  </si>
  <si>
    <t>130/180/105</t>
  </si>
  <si>
    <t>Aoba, 6 shots</t>
  </si>
  <si>
    <t>130/165/100</t>
  </si>
  <si>
    <t>All-Seeing Eye</t>
  </si>
  <si>
    <t>All-Obscuring Eye</t>
  </si>
  <si>
    <t>Tone, 6 shots</t>
  </si>
  <si>
    <t>130/175/100</t>
  </si>
  <si>
    <t>Draw Fire</t>
  </si>
  <si>
    <t>Myoukou, 6 shots</t>
  </si>
  <si>
    <t>Blade of Surabaya</t>
  </si>
  <si>
    <t>Takao, 4 shots (!)</t>
  </si>
  <si>
    <t>125/175/100</t>
  </si>
  <si>
    <t>Arsonist</t>
  </si>
  <si>
    <t>135/170/100</t>
  </si>
  <si>
    <t>Myriad Nights: Heaven</t>
  </si>
  <si>
    <t>125/170/120</t>
  </si>
  <si>
    <t>Leyte Gulf's Blitz</t>
  </si>
  <si>
    <t>125/130/110</t>
  </si>
  <si>
    <t>Defensive Shield</t>
  </si>
  <si>
    <t>Adm. Hipper, 6 shots</t>
  </si>
  <si>
    <t>130/160/100</t>
  </si>
  <si>
    <t>Unbreakable Shield</t>
  </si>
  <si>
    <t>Pocket Battleship</t>
  </si>
  <si>
    <t>Deutschland, 6 shots</t>
  </si>
  <si>
    <t>140/130/100</t>
  </si>
  <si>
    <t>Bull of Capital Lake</t>
  </si>
  <si>
    <t>Dullahan</t>
  </si>
  <si>
    <t>125/70/125</t>
  </si>
  <si>
    <t>Dark-Dispelling Flame</t>
  </si>
  <si>
    <t>Suzuya, 6 shots</t>
  </si>
  <si>
    <t>CL/CA</t>
  </si>
  <si>
    <t>135/145/110</t>
  </si>
  <si>
    <t>Terni Shields</t>
  </si>
  <si>
    <t>SAPHE</t>
  </si>
  <si>
    <t>Zara, 8 shots</t>
  </si>
  <si>
    <t>120/55/100</t>
  </si>
  <si>
    <t>Trento, 6 shots</t>
  </si>
  <si>
    <t>HE Volley Fever</t>
  </si>
  <si>
    <t>Soothing Shield</t>
  </si>
  <si>
    <t>Hipper (M), 10 shots</t>
  </si>
  <si>
    <t>Blazing Burst Wings</t>
  </si>
  <si>
    <t>One for the Team</t>
  </si>
  <si>
    <t>125/70/140</t>
  </si>
  <si>
    <t>Bellowing Gusts of Fire</t>
  </si>
  <si>
    <t>Divine Aegis</t>
  </si>
  <si>
    <t>Algérie, 6 shots</t>
  </si>
  <si>
    <t>Veil of Night</t>
  </si>
  <si>
    <t>Armor-Piercing Hypercharge</t>
  </si>
  <si>
    <t>Blazing Choreography</t>
  </si>
  <si>
    <t>125/55/135</t>
  </si>
  <si>
    <t>Encore Flare</t>
  </si>
  <si>
    <t>Bilateral Accompaniment</t>
  </si>
  <si>
    <t>Roon, 8 shots</t>
  </si>
  <si>
    <t>Sic 'em, Eisen!</t>
  </si>
  <si>
    <t>Heinrich's Hunch Punch</t>
  </si>
  <si>
    <t>P-class, 6 Shots</t>
  </si>
  <si>
    <t>CA/CB</t>
  </si>
  <si>
    <t>160/130/100</t>
  </si>
  <si>
    <t>Viola Spear</t>
  </si>
  <si>
    <t>Audacious Challenger</t>
  </si>
  <si>
    <t>125/60/100</t>
  </si>
  <si>
    <t>Bulwark of Rime</t>
  </si>
  <si>
    <t>Memorial of Ice and Iron</t>
  </si>
  <si>
    <t>Tallinn, 6 shots</t>
  </si>
  <si>
    <t>155/125/115</t>
  </si>
  <si>
    <t>Get Starstruck!</t>
  </si>
  <si>
    <t>Right Place Right Time</t>
  </si>
  <si>
    <t>San Francisco, 8 shots</t>
  </si>
  <si>
    <t>125/75/125</t>
  </si>
  <si>
    <t>Medistation S</t>
  </si>
  <si>
    <t>125/165/110</t>
  </si>
  <si>
    <t>Tricolor Order</t>
  </si>
  <si>
    <t>Lace Dance</t>
  </si>
  <si>
    <t>130/165/110</t>
  </si>
  <si>
    <t>Connected</t>
  </si>
  <si>
    <t>Everything is in Order</t>
  </si>
  <si>
    <t>110/55/125</t>
  </si>
  <si>
    <t>Oni Goddess Nakiri</t>
  </si>
  <si>
    <t>Asura-Rakshasa</t>
  </si>
  <si>
    <t>110/55/105</t>
  </si>
  <si>
    <t>Sakura Petal Dance</t>
  </si>
  <si>
    <t>Misty Mirror Flower</t>
  </si>
  <si>
    <t>135/165/105</t>
  </si>
  <si>
    <t>Feigned Innocence?</t>
  </si>
  <si>
    <t>Healing Augury</t>
  </si>
  <si>
    <t>Directionally Challenged</t>
  </si>
  <si>
    <t>120/65/115</t>
  </si>
  <si>
    <t>Body and Soul+</t>
  </si>
  <si>
    <t>Flash of Lightning</t>
  </si>
  <si>
    <t>Ibuki, 6 shots</t>
  </si>
  <si>
    <t>140/185/110</t>
  </si>
  <si>
    <t>Expert Loader</t>
  </si>
  <si>
    <t>Well-Rounded Armor+</t>
  </si>
  <si>
    <t>Augmented HE Ammo</t>
  </si>
  <si>
    <t>Engine Boost+</t>
  </si>
  <si>
    <t>Saint Louis, 8 shots</t>
  </si>
  <si>
    <t>130/120/125</t>
  </si>
  <si>
    <t>Grin and Fire!</t>
  </si>
  <si>
    <t>Bounce Right Back</t>
  </si>
  <si>
    <t>Cheshire, 6 shots</t>
  </si>
  <si>
    <t>140/155/165</t>
  </si>
  <si>
    <t>The Fearless Privateer</t>
  </si>
  <si>
    <t>Flintlock Burst</t>
  </si>
  <si>
    <t>Drake, 8 shots</t>
  </si>
  <si>
    <t>Riddle Me This</t>
  </si>
  <si>
    <t>Hide and Seek</t>
  </si>
  <si>
    <t>Anchorage, 8 shots</t>
  </si>
  <si>
    <t>130/115/115</t>
  </si>
  <si>
    <t>Blazing Peaks</t>
  </si>
  <si>
    <t>Mizuho's Intuition</t>
  </si>
  <si>
    <t>Gunnery Training 8 shots</t>
  </si>
  <si>
    <t>100/60/110</t>
  </si>
  <si>
    <t>Engulfer of the Golden Vortex</t>
  </si>
  <si>
    <t>Abyssal Banquet</t>
  </si>
  <si>
    <t>Jöttun's Jaws</t>
  </si>
  <si>
    <t>120/110/110</t>
  </si>
  <si>
    <t>The Flawless Knife-Thrower</t>
  </si>
  <si>
    <t>Circumspect Vigilance</t>
  </si>
  <si>
    <t>Suffren, 6 shots</t>
  </si>
  <si>
    <t>115/165/90</t>
  </si>
  <si>
    <t>Crescent City Bonds</t>
  </si>
  <si>
    <t>Nola Finale</t>
  </si>
  <si>
    <t>Calibur End</t>
  </si>
  <si>
    <t>Tanker Cannon</t>
  </si>
  <si>
    <t>130/155/100</t>
  </si>
  <si>
    <t>Blazing Inferno Rex Roar</t>
  </si>
  <si>
    <t>Something Beam</t>
  </si>
  <si>
    <t>Dynazenon Full Burst</t>
  </si>
  <si>
    <t>Knockout Shot</t>
  </si>
  <si>
    <t>Taking One for the Team</t>
  </si>
  <si>
    <t>150/140/100</t>
  </si>
  <si>
    <t>Retro/Skill 3</t>
  </si>
  <si>
    <t>115/135/185</t>
  </si>
  <si>
    <t>160/160/100</t>
  </si>
  <si>
    <t>145/165/115</t>
  </si>
  <si>
    <t>125/180/115</t>
  </si>
  <si>
    <t>Iris' Heart</t>
  </si>
  <si>
    <t>Angel of Love</t>
  </si>
  <si>
    <t>Destroyer of Darknes</t>
  </si>
  <si>
    <t>Heart of a Knight</t>
  </si>
  <si>
    <t>Untrained Knight</t>
  </si>
  <si>
    <t>Skill 3</t>
  </si>
  <si>
    <t>130/200/100</t>
  </si>
  <si>
    <t>135/215/100</t>
  </si>
  <si>
    <t>Sister Penn</t>
  </si>
  <si>
    <t>Eagle's Tears</t>
  </si>
  <si>
    <t>Coercion</t>
  </si>
  <si>
    <t>Big Seven</t>
  </si>
  <si>
    <t>Fighting Mary</t>
  </si>
  <si>
    <t>Air Cover</t>
  </si>
  <si>
    <t>AA Firepower</t>
  </si>
  <si>
    <t>Courageous Shelling</t>
  </si>
  <si>
    <t>North of Iron Bottom</t>
  </si>
  <si>
    <t>The Strongest Shield</t>
  </si>
  <si>
    <t>Dragon's Breath</t>
  </si>
  <si>
    <t>Freedom Through Firepower</t>
  </si>
  <si>
    <t>Don'tcha Just Love It?</t>
  </si>
  <si>
    <t>150/210/130</t>
  </si>
  <si>
    <t>Final Glory</t>
  </si>
  <si>
    <t>135/150/70</t>
  </si>
  <si>
    <t>Z's Counterattack</t>
  </si>
  <si>
    <t>Royal Navy's Glory</t>
  </si>
  <si>
    <t>Queen's Orders</t>
  </si>
  <si>
    <t>Divine Marksman</t>
  </si>
  <si>
    <t>Divine Marksman Plus</t>
  </si>
  <si>
    <t>The Royal Legend</t>
  </si>
  <si>
    <t>140/200/115</t>
  </si>
  <si>
    <t>Armament Optimization</t>
  </si>
  <si>
    <t>Glory of the Sun</t>
  </si>
  <si>
    <t>135/200/100</t>
  </si>
  <si>
    <t>Royal Alliance</t>
  </si>
  <si>
    <t>Concerto of Blood</t>
  </si>
  <si>
    <t>Trepidation of Destruction</t>
  </si>
  <si>
    <t>Infinite Darkness</t>
  </si>
  <si>
    <t>120/200/100</t>
  </si>
  <si>
    <t>Roaring Glory</t>
  </si>
  <si>
    <t>135/150/90</t>
  </si>
  <si>
    <t>Prestige</t>
  </si>
  <si>
    <t>Dazzling Dawn</t>
  </si>
  <si>
    <t>Blaze of Glory</t>
  </si>
  <si>
    <t>130/200/80</t>
  </si>
  <si>
    <t>Air Reserve</t>
  </si>
  <si>
    <t>Seaplane</t>
  </si>
  <si>
    <t>165/200/85</t>
  </si>
  <si>
    <t>140/200/80</t>
  </si>
  <si>
    <t>Aviation BB Fleet</t>
  </si>
  <si>
    <t>180/180/95</t>
  </si>
  <si>
    <t>Artillery Command: MF</t>
  </si>
  <si>
    <t>135/180/80</t>
  </si>
  <si>
    <t>Melee Artillery</t>
  </si>
  <si>
    <t>175/200/95</t>
  </si>
  <si>
    <t>Big Seven - Sakura</t>
  </si>
  <si>
    <t>4th Fleet Flagship</t>
  </si>
  <si>
    <t>135/210/100</t>
  </si>
  <si>
    <t>130/210/100</t>
  </si>
  <si>
    <t>Kii Fleet Strategy</t>
  </si>
  <si>
    <t>Stalwart Advance</t>
  </si>
  <si>
    <t>Accomplish Any Feat!</t>
  </si>
  <si>
    <t>Crush Any Contender!</t>
  </si>
  <si>
    <t>135/200/90</t>
  </si>
  <si>
    <t>Sniper</t>
  </si>
  <si>
    <t>Torpedo Launch</t>
  </si>
  <si>
    <t>Battle Buster</t>
  </si>
  <si>
    <t>Warheit</t>
  </si>
  <si>
    <t>Unwavering Strength</t>
  </si>
  <si>
    <t>Will of the Ironblood</t>
  </si>
  <si>
    <t>130/180/90</t>
  </si>
  <si>
    <t>Lone Queen of the North</t>
  </si>
  <si>
    <t>Magnetic Torpedo</t>
  </si>
  <si>
    <t>130/200/90</t>
  </si>
  <si>
    <t>Reborn Fleet Flagship</t>
  </si>
  <si>
    <t>T-Cross Formation</t>
  </si>
  <si>
    <t>130/150/150</t>
  </si>
  <si>
    <t>Artillery Volley</t>
  </si>
  <si>
    <t>120/205/100</t>
  </si>
  <si>
    <t>Frontal Fire</t>
  </si>
  <si>
    <t>170/150/70</t>
  </si>
  <si>
    <t>Pirate's Soul</t>
  </si>
  <si>
    <t>Final Shot</t>
  </si>
  <si>
    <t>160/200/70</t>
  </si>
  <si>
    <t>Big Mamie</t>
  </si>
  <si>
    <t>2,700 Pounds of Justice</t>
  </si>
  <si>
    <t>Ageless Phoenix</t>
  </si>
  <si>
    <t>Efficacious Planning</t>
  </si>
  <si>
    <t>Crippling Strike</t>
  </si>
  <si>
    <t>135/180/90</t>
  </si>
  <si>
    <t>Fight to Win!</t>
  </si>
  <si>
    <t>Conquer to Loot!</t>
  </si>
  <si>
    <t>Torpedoes, Launch!</t>
  </si>
  <si>
    <t>Holy Mountain's Witch</t>
  </si>
  <si>
    <t>130/150/85</t>
  </si>
  <si>
    <t>Lucky A</t>
  </si>
  <si>
    <t>Just Gettin' Fired Up</t>
  </si>
  <si>
    <t>Rosa Bombardamento</t>
  </si>
  <si>
    <t>Sardegnian Discipline</t>
  </si>
  <si>
    <t>Fading Memories of Glory</t>
  </si>
  <si>
    <t>125/150/70</t>
  </si>
  <si>
    <t>Sardegnian Coercion</t>
  </si>
  <si>
    <t>Cœur Battant</t>
  </si>
  <si>
    <t>Polaris Protocol</t>
  </si>
  <si>
    <t>170/200/70</t>
  </si>
  <si>
    <t>Unleashed Tactics</t>
  </si>
  <si>
    <t>Unyielding Shield</t>
  </si>
  <si>
    <t>Long Live the Revolution!</t>
  </si>
  <si>
    <t>Icebreaker</t>
  </si>
  <si>
    <t>110/200/100</t>
  </si>
  <si>
    <t>Curtain of Rime</t>
  </si>
  <si>
    <t>Ingenious Tactician</t>
  </si>
  <si>
    <t>135/200/110</t>
  </si>
  <si>
    <t>Lod Obstrel</t>
  </si>
  <si>
    <t>Warcry of Unity</t>
  </si>
  <si>
    <t>Knight's Shooting Training</t>
  </si>
  <si>
    <t>Knight's Formation Drill</t>
  </si>
  <si>
    <t>The Iris's Flagbearer</t>
  </si>
  <si>
    <t>The Iris's Holy Flame</t>
  </si>
  <si>
    <t>The Iris's Vindication</t>
  </si>
  <si>
    <t>160/200/100</t>
  </si>
  <si>
    <t>Synchronized Strike</t>
  </si>
  <si>
    <t>Immortal Knights</t>
  </si>
  <si>
    <t>140/200/100</t>
  </si>
  <si>
    <t>Leading the Way</t>
  </si>
  <si>
    <t>Forward!</t>
  </si>
  <si>
    <t>The Eternal Flagship</t>
  </si>
  <si>
    <t>Eternal Light of Sardegna</t>
  </si>
  <si>
    <t>Banner of Splendor</t>
  </si>
  <si>
    <t>Absolute Adaptability</t>
  </si>
  <si>
    <t>Prescient Planning</t>
  </si>
  <si>
    <t>Cinderflame Curse</t>
  </si>
  <si>
    <t>The Butterfly's Last Gasp</t>
  </si>
  <si>
    <t>Echoes of Annihilation</t>
  </si>
  <si>
    <t>Ashen Might - Fusou</t>
  </si>
  <si>
    <t>130/200/85</t>
  </si>
  <si>
    <t>Aiming Adjustments</t>
  </si>
  <si>
    <t>Coercion Assistance</t>
  </si>
  <si>
    <t>Rock-Paper-Cannon Salvo</t>
  </si>
  <si>
    <t>Super Mega Explosion</t>
  </si>
  <si>
    <t>Not-So-Gentle Sister</t>
  </si>
  <si>
    <t>Venus' Unpredictability</t>
  </si>
  <si>
    <t>Iori Strike!</t>
  </si>
  <si>
    <t>Iori Defense!</t>
  </si>
  <si>
    <t>Monarch's Coercion</t>
  </si>
  <si>
    <t>Against the Current+</t>
  </si>
  <si>
    <t>145/210/110</t>
  </si>
  <si>
    <t>A Legend's Inheritance+</t>
  </si>
  <si>
    <t>Specialized Armor</t>
  </si>
  <si>
    <t>140/210/80</t>
  </si>
  <si>
    <t>Ironsight Caliber+</t>
  </si>
  <si>
    <t>Heavy Barrel Blaster</t>
  </si>
  <si>
    <t>165/200/110</t>
  </si>
  <si>
    <t>Symphony of Destruction</t>
  </si>
  <si>
    <t>Sonata of Chaos</t>
  </si>
  <si>
    <t>Rhapsody of Darkness</t>
  </si>
  <si>
    <t>160/220/100</t>
  </si>
  <si>
    <t>Emotion Inhibition Mod+</t>
  </si>
  <si>
    <t>Precision Salvo Protocol</t>
  </si>
  <si>
    <t>180/200/80</t>
  </si>
  <si>
    <t>Mimir's Keen Eyes</t>
  </si>
  <si>
    <t>Herteitr's Rolling Thunder</t>
  </si>
  <si>
    <t>140/200/110</t>
  </si>
  <si>
    <t>Setzer Principle</t>
  </si>
  <si>
    <t>Holy Thurible</t>
  </si>
  <si>
    <t>Legendary Voyage</t>
  </si>
  <si>
    <t>Il Milione</t>
  </si>
  <si>
    <t>Untold Tales</t>
  </si>
  <si>
    <t>145/200/120</t>
  </si>
  <si>
    <t>Energy Pulse</t>
  </si>
  <si>
    <t>Instance Abreaction</t>
  </si>
  <si>
    <t>Ever-Burning Flame</t>
  </si>
  <si>
    <t>Instance Domination: Wings</t>
  </si>
  <si>
    <t>Instance Domination: Flames</t>
  </si>
  <si>
    <t>The Laurel of Prosody</t>
  </si>
  <si>
    <t>In Ridicule of Fools</t>
  </si>
  <si>
    <t>Revolutionary's Prosaic</t>
  </si>
  <si>
    <t>155/210/90</t>
  </si>
  <si>
    <t>Seething Chains</t>
  </si>
  <si>
    <t>Disrupton Wave</t>
  </si>
  <si>
    <t>Memory Mining</t>
  </si>
  <si>
    <t>Cinders of Hope - Gneisenau</t>
  </si>
  <si>
    <t>ACV</t>
  </si>
  <si>
    <t>Fighters</t>
  </si>
  <si>
    <t>Dive Bombers</t>
  </si>
  <si>
    <t>Torp Bombers</t>
  </si>
  <si>
    <t>QuickTakeoff</t>
  </si>
  <si>
    <t>3 Fighters</t>
  </si>
  <si>
    <t>3 Divebombers</t>
  </si>
  <si>
    <t>130/130/80</t>
  </si>
  <si>
    <t>3 - 130%</t>
  </si>
  <si>
    <t>Air Support</t>
  </si>
  <si>
    <t>145/130/80</t>
  </si>
  <si>
    <t>3 - 145%</t>
  </si>
  <si>
    <t>AA Command: MF</t>
  </si>
  <si>
    <t>130/145/85</t>
  </si>
  <si>
    <t>First-Gen Carrier</t>
  </si>
  <si>
    <t>2 Divebombers</t>
  </si>
  <si>
    <t>6 - 130%</t>
  </si>
  <si>
    <t>2 - 80%</t>
  </si>
  <si>
    <t>Reload Command: CVL</t>
  </si>
  <si>
    <t>145/145/85</t>
  </si>
  <si>
    <t>6 - 145%</t>
  </si>
  <si>
    <t>2 - 85%</t>
  </si>
  <si>
    <t>Artillery Cover</t>
  </si>
  <si>
    <t>Fleet Carrier</t>
  </si>
  <si>
    <t>2 Fighters</t>
  </si>
  <si>
    <t>2 - 120%</t>
  </si>
  <si>
    <t>Magical Girl's Prank</t>
  </si>
  <si>
    <t>125/140/140</t>
  </si>
  <si>
    <t>2 - 125%</t>
  </si>
  <si>
    <t>6 - 140%</t>
  </si>
  <si>
    <t>2 Torpbombers</t>
  </si>
  <si>
    <t>100/130/130</t>
  </si>
  <si>
    <t>2 - 100%</t>
  </si>
  <si>
    <t>Assault Carrier</t>
  </si>
  <si>
    <t>105/145/145</t>
  </si>
  <si>
    <t>2 - 105%</t>
  </si>
  <si>
    <t>Vengeance</t>
  </si>
  <si>
    <t>125/125/125</t>
  </si>
  <si>
    <t>3 - 125%</t>
  </si>
  <si>
    <t>Lucky E</t>
  </si>
  <si>
    <t>Doolittle Airstrike</t>
  </si>
  <si>
    <t>Wasp's Double Sting</t>
  </si>
  <si>
    <t>3 Torpbombers</t>
  </si>
  <si>
    <t>Destiny Draw</t>
  </si>
  <si>
    <t>140/140/85</t>
  </si>
  <si>
    <t>Support Carrier</t>
  </si>
  <si>
    <t>Reload Command: VG</t>
  </si>
  <si>
    <t>3 -130%</t>
  </si>
  <si>
    <t>Knight's Arsenal</t>
  </si>
  <si>
    <t>Swordbearing Eagle</t>
  </si>
  <si>
    <t>CL/Divebombers</t>
  </si>
  <si>
    <t>135/140/55</t>
  </si>
  <si>
    <t>3 - 135%</t>
  </si>
  <si>
    <t>2 - 55%</t>
  </si>
  <si>
    <t>3 - 140%</t>
  </si>
  <si>
    <t>Swordfishes, Strike</t>
  </si>
  <si>
    <t>140/140/80</t>
  </si>
  <si>
    <t>Destruction Bolt</t>
  </si>
  <si>
    <t>143/143/95</t>
  </si>
  <si>
    <t>2 - 95%</t>
  </si>
  <si>
    <t>6 - 143%</t>
  </si>
  <si>
    <t>Armored Carrier</t>
  </si>
  <si>
    <t>135/135/110</t>
  </si>
  <si>
    <t>6 - 135%</t>
  </si>
  <si>
    <t>2 - 110%</t>
  </si>
  <si>
    <t>Victorious Song</t>
  </si>
  <si>
    <t>Supporting Wings</t>
  </si>
  <si>
    <t>Don't Move An Inch!</t>
  </si>
  <si>
    <t>Armored Hangar</t>
  </si>
  <si>
    <t>120/135/125</t>
  </si>
  <si>
    <t>140/115/115</t>
  </si>
  <si>
    <t>4 - 115%</t>
  </si>
  <si>
    <t>Covering Fire</t>
  </si>
  <si>
    <t>BB Main</t>
  </si>
  <si>
    <t>3 Seaplanes</t>
  </si>
  <si>
    <t>3 - 200%</t>
  </si>
  <si>
    <t>3 - 180%</t>
  </si>
  <si>
    <t>Eagle's Defiance</t>
  </si>
  <si>
    <t>100/110/120</t>
  </si>
  <si>
    <t>3 - 110%</t>
  </si>
  <si>
    <t>CL Main</t>
  </si>
  <si>
    <t>145/135/80</t>
  </si>
  <si>
    <t>Light Carrier Unit</t>
  </si>
  <si>
    <t>Raid Signal</t>
  </si>
  <si>
    <t>130/145/80</t>
  </si>
  <si>
    <t>Preemptive Strike</t>
  </si>
  <si>
    <t>1st Carrier Division</t>
  </si>
  <si>
    <t>110/110/150</t>
  </si>
  <si>
    <t>3 - 150%</t>
  </si>
  <si>
    <t>2nd Carrier Division</t>
  </si>
  <si>
    <t>110/150/110</t>
  </si>
  <si>
    <t>Flowers of Fate</t>
  </si>
  <si>
    <t>125/150/115</t>
  </si>
  <si>
    <t>2 - 115%</t>
  </si>
  <si>
    <t>Final Counter</t>
  </si>
  <si>
    <t>125/115/150</t>
  </si>
  <si>
    <t>Crane's Protection</t>
  </si>
  <si>
    <t>5th Carrier Division</t>
  </si>
  <si>
    <t>4 Torpbombers</t>
  </si>
  <si>
    <t>4 - 150%</t>
  </si>
  <si>
    <t>Crane's Endeavor</t>
  </si>
  <si>
    <t>130/125/125</t>
  </si>
  <si>
    <t>2 - 130%</t>
  </si>
  <si>
    <t>Predestined Launch</t>
  </si>
  <si>
    <t>Heavily Armored</t>
  </si>
  <si>
    <t>120/130/140</t>
  </si>
  <si>
    <t>Hope's Tempest</t>
  </si>
  <si>
    <t>Dreamwaker's Bow</t>
  </si>
  <si>
    <t>Protector of the New Moon</t>
  </si>
  <si>
    <t>4 - 135%</t>
  </si>
  <si>
    <t>Ironblood Wings</t>
  </si>
  <si>
    <t>Ironblood Hawk</t>
  </si>
  <si>
    <t>Swordfishes, Attack!</t>
  </si>
  <si>
    <t>Airspace Dominance</t>
  </si>
  <si>
    <t>125/120/140</t>
  </si>
  <si>
    <t>4 - 122.5%</t>
  </si>
  <si>
    <t>4 - 140%</t>
  </si>
  <si>
    <t>Valorous Avengers</t>
  </si>
  <si>
    <t>Covering Formation</t>
  </si>
  <si>
    <t>Absolute Evasion</t>
  </si>
  <si>
    <t>2Torpbombers</t>
  </si>
  <si>
    <t>140/130/120</t>
  </si>
  <si>
    <t>North Passage Protector</t>
  </si>
  <si>
    <t>Eagle Sky</t>
  </si>
  <si>
    <t>Knight of the Sky</t>
  </si>
  <si>
    <t>Supporting Wings - Independence</t>
  </si>
  <si>
    <t>4 Fighters</t>
  </si>
  <si>
    <t>145/150/80</t>
  </si>
  <si>
    <t>4 - 145%</t>
  </si>
  <si>
    <t>Doolittle Raid Plus</t>
  </si>
  <si>
    <t>Observer of Sky/Ocean</t>
  </si>
  <si>
    <t>140/130/115</t>
  </si>
  <si>
    <t>Task Group</t>
  </si>
  <si>
    <t>Relentless Persistence</t>
  </si>
  <si>
    <t>Take the Initiative!</t>
  </si>
  <si>
    <t>Crimson Protection</t>
  </si>
  <si>
    <t>125/115/125</t>
  </si>
  <si>
    <t>Taste My Wrath!</t>
  </si>
  <si>
    <t>Ironblood Hatchling</t>
  </si>
  <si>
    <t>115/130/110</t>
  </si>
  <si>
    <t>3 - 115%</t>
  </si>
  <si>
    <t>3/6 - 130/120%</t>
  </si>
  <si>
    <t>Hellcat's Roar</t>
  </si>
  <si>
    <t>One for All</t>
  </si>
  <si>
    <t>125/155/80</t>
  </si>
  <si>
    <t>3 - 155%</t>
  </si>
  <si>
    <t>Airborne Dualism</t>
  </si>
  <si>
    <t>Crimson Overture</t>
  </si>
  <si>
    <t>Dancing Waves</t>
  </si>
  <si>
    <t>Soaring Silver WIngs</t>
  </si>
  <si>
    <t>Formation Shift</t>
  </si>
  <si>
    <t>The Fearless Fighting I</t>
  </si>
  <si>
    <t>135/135/100</t>
  </si>
  <si>
    <t>Holy Bombardment</t>
  </si>
  <si>
    <t>Sacred Second Wing</t>
  </si>
  <si>
    <t>Take Off!</t>
  </si>
  <si>
    <t>Prayer for Love and Peace</t>
  </si>
  <si>
    <t>125/125/120</t>
  </si>
  <si>
    <t>6 - 125%</t>
  </si>
  <si>
    <t>Mercury's Talaria</t>
  </si>
  <si>
    <t>Athena's Catapult</t>
  </si>
  <si>
    <t>Waters of Styx</t>
  </si>
  <si>
    <t>100/100/110</t>
  </si>
  <si>
    <t>3 - 100%</t>
  </si>
  <si>
    <t>Strike Team, Attack!</t>
  </si>
  <si>
    <t>Evasive Scramble</t>
  </si>
  <si>
    <t>Extinguishing Gale</t>
  </si>
  <si>
    <t>Scarlet Waltz</t>
  </si>
  <si>
    <t>Soaring Opening</t>
  </si>
  <si>
    <t>Auspice of the Stars</t>
  </si>
  <si>
    <t>Blue Spirit</t>
  </si>
  <si>
    <t>125/125/135</t>
  </si>
  <si>
    <t>2 - 135%</t>
  </si>
  <si>
    <t>Iron Blood Falcon</t>
  </si>
  <si>
    <t>Paralyzing Advance</t>
  </si>
  <si>
    <t>Iron Wings, Blood Pinions</t>
  </si>
  <si>
    <t>The Lonesome Lookout</t>
  </si>
  <si>
    <t>Galvanizing Shield</t>
  </si>
  <si>
    <t>Freccia dell'Aquila</t>
  </si>
  <si>
    <t>Rain of Starlight</t>
  </si>
  <si>
    <t>Disarming but Deadly</t>
  </si>
  <si>
    <t>120/120/130</t>
  </si>
  <si>
    <t>2 or 4 - 120%</t>
  </si>
  <si>
    <t>0 or 2 - 120%</t>
  </si>
  <si>
    <t>4 - 130%</t>
  </si>
  <si>
    <t>Wings of Soaring Flames</t>
  </si>
  <si>
    <t>Shielded Advance</t>
  </si>
  <si>
    <t>Advanced Support Formation</t>
  </si>
  <si>
    <t>Lucky Little E</t>
  </si>
  <si>
    <t>3- 125%</t>
  </si>
  <si>
    <t>Late-Blooming Airstrike</t>
  </si>
  <si>
    <t>Veil of Azaleas</t>
  </si>
  <si>
    <t>125/115/135</t>
  </si>
  <si>
    <t>Scorched Blade</t>
  </si>
  <si>
    <t>Cards of Light and Dark</t>
  </si>
  <si>
    <t>Cherry Petal Memento</t>
  </si>
  <si>
    <t>Ashen Might - Hiryuu</t>
  </si>
  <si>
    <t>Shadowflame Torch</t>
  </si>
  <si>
    <t>Shadow Skirmisher</t>
  </si>
  <si>
    <t>Glorious Onslaught</t>
  </si>
  <si>
    <t>Ashen Might - Ark Royal</t>
  </si>
  <si>
    <t>145/140/80</t>
  </si>
  <si>
    <t>6 - 142.5%</t>
  </si>
  <si>
    <t>Akatan of Blossoming Flame</t>
  </si>
  <si>
    <t>Aotan of Shadow-Sealing</t>
  </si>
  <si>
    <t>Cards of Beast and Butterfly</t>
  </si>
  <si>
    <t>Flickering Light - Souryuu</t>
  </si>
  <si>
    <t>110/150/120</t>
  </si>
  <si>
    <t>Assam Link</t>
  </si>
  <si>
    <t>120/125/125</t>
  </si>
  <si>
    <t>3 - 120%</t>
  </si>
  <si>
    <t>4 - 125%</t>
  </si>
  <si>
    <t>Darjeeling Rotation</t>
  </si>
  <si>
    <t>Rainy Ratnapura</t>
  </si>
  <si>
    <t>Future Base</t>
  </si>
  <si>
    <t>Melty World</t>
  </si>
  <si>
    <t>110/135/135</t>
  </si>
  <si>
    <t>Dream Story</t>
  </si>
  <si>
    <t>Beneath the Deep Blue Sky</t>
  </si>
  <si>
    <t>4 Divebombers</t>
  </si>
  <si>
    <t>Wave of a Pleasant Dream</t>
  </si>
  <si>
    <t>MP Burst - Explosion</t>
  </si>
  <si>
    <t>130/125/100</t>
  </si>
  <si>
    <t>Wild Dualism</t>
  </si>
  <si>
    <t>Tarot Card Divination</t>
  </si>
  <si>
    <t>Dance of the Heavens</t>
  </si>
  <si>
    <t>Hanakagura</t>
  </si>
  <si>
    <t>120/125/135</t>
  </si>
  <si>
    <t>Cerulean Song</t>
  </si>
  <si>
    <t>The Fruits of labor</t>
  </si>
  <si>
    <t>Alongside the Ocean's Wings</t>
  </si>
  <si>
    <t>110/120/140</t>
  </si>
  <si>
    <t>Sky-Rending Retribution</t>
  </si>
  <si>
    <t>Flame-Anointed Conquest</t>
  </si>
  <si>
    <t>The Great One's Shadow</t>
  </si>
  <si>
    <t>0 or 3 - 125%</t>
  </si>
  <si>
    <t>4 or 6 - 150%</t>
  </si>
  <si>
    <t>0 to 5 - 130%</t>
  </si>
  <si>
    <t>Principle of Insight</t>
  </si>
  <si>
    <t>Principle of Shattering</t>
  </si>
  <si>
    <t>Principle of Dominance</t>
  </si>
  <si>
    <t>140/110/140</t>
  </si>
  <si>
    <t>2 - 140%</t>
  </si>
  <si>
    <t>Ride the WInd</t>
  </si>
  <si>
    <t>Take to the Skies</t>
  </si>
  <si>
    <t>120/125/130</t>
  </si>
  <si>
    <t>Stormchasing Blade</t>
  </si>
  <si>
    <t>Falcon's Talons</t>
  </si>
  <si>
    <t>Concealing Downpour</t>
  </si>
  <si>
    <t>Ashen Might - Hiyou</t>
  </si>
  <si>
    <t>100/120/110</t>
  </si>
  <si>
    <t>Bad Girl's Surprise Strike</t>
  </si>
  <si>
    <t>Good Girl at Heart</t>
  </si>
  <si>
    <t>Damage Control</t>
  </si>
  <si>
    <t>Regular Maintenance</t>
  </si>
  <si>
    <t>Aux</t>
  </si>
  <si>
    <t>--/100/100</t>
  </si>
  <si>
    <t>Logistics Repair</t>
  </si>
  <si>
    <t>Robust Ballasts</t>
  </si>
  <si>
    <t>Cargo Fire Precautions</t>
  </si>
  <si>
    <t>110/80/--</t>
  </si>
  <si>
    <t>Fleet Course Management</t>
  </si>
  <si>
    <t>Logistics Buddy</t>
  </si>
  <si>
    <t>110/110/--</t>
  </si>
  <si>
    <t>Fatal Perforation</t>
  </si>
  <si>
    <t>Slow Torpedoes</t>
  </si>
  <si>
    <t>Full Barrage</t>
  </si>
  <si>
    <t>Sub Torpedo</t>
  </si>
  <si>
    <t>135/115/80</t>
  </si>
  <si>
    <t>Carrier Hunter</t>
  </si>
  <si>
    <t>Extra Oxygen Supply</t>
  </si>
  <si>
    <t>130/115/85</t>
  </si>
  <si>
    <t>Departing Strike</t>
  </si>
  <si>
    <t>120/115/85</t>
  </si>
  <si>
    <t>Silent Hunter</t>
  </si>
  <si>
    <t>Wolfpack Formation 81</t>
  </si>
  <si>
    <t>130/125/85</t>
  </si>
  <si>
    <t>CA Hunter</t>
  </si>
  <si>
    <t>125/120/90</t>
  </si>
  <si>
    <t>Bull of Scapa Flow</t>
  </si>
  <si>
    <t>Lone Wolf</t>
  </si>
  <si>
    <t>125/125/85</t>
  </si>
  <si>
    <t>CL Hunter</t>
  </si>
  <si>
    <t>Wolf Pack Tactics</t>
  </si>
  <si>
    <t>Recon Support</t>
  </si>
  <si>
    <t>Surfaced Combat</t>
  </si>
  <si>
    <t>115/120/120</t>
  </si>
  <si>
    <t>Experienced Hunter</t>
  </si>
  <si>
    <t>Surprise Gift</t>
  </si>
  <si>
    <t>130/120/90</t>
  </si>
  <si>
    <t>Code: Hikari</t>
  </si>
  <si>
    <t>135/115/150</t>
  </si>
  <si>
    <t>The Light of an Oath</t>
  </si>
  <si>
    <t>125/120/85</t>
  </si>
  <si>
    <t>Glen's Assault</t>
  </si>
  <si>
    <t>Destructive Departure</t>
  </si>
  <si>
    <t>Airspace Affirmation</t>
  </si>
  <si>
    <t>115/115/85</t>
  </si>
  <si>
    <t>Vengeful Blade</t>
  </si>
  <si>
    <t>130/115/80</t>
  </si>
  <si>
    <t>Great Shark's Bite</t>
  </si>
  <si>
    <t>Wolfpack Formation 101</t>
  </si>
  <si>
    <t>Open Ocean Support</t>
  </si>
  <si>
    <t>Guardian Piscis</t>
  </si>
  <si>
    <t>Double the Gato</t>
  </si>
  <si>
    <t>Codebreaking Game</t>
  </si>
  <si>
    <t>Blue Hunter</t>
  </si>
  <si>
    <t>Smiling Hunter</t>
  </si>
  <si>
    <t>Wolfpack Formation 96</t>
  </si>
  <si>
    <t>Universal Surprise!</t>
  </si>
  <si>
    <t>Westward Trident</t>
  </si>
  <si>
    <t>Wolfpack Formation 37</t>
  </si>
  <si>
    <t>Mysterious Huntress</t>
  </si>
  <si>
    <t>Turn the Tide</t>
  </si>
  <si>
    <t>Hottie Hunters</t>
  </si>
  <si>
    <t>Parting Gift</t>
  </si>
  <si>
    <t>130/130/85</t>
  </si>
  <si>
    <t>The Intrepid Nautilus</t>
  </si>
  <si>
    <t>Lure</t>
  </si>
  <si>
    <t>Shut-in Maid</t>
  </si>
  <si>
    <t>Fallen Angel</t>
  </si>
  <si>
    <t>Promise to the Sunflower</t>
  </si>
  <si>
    <t>&lt;--</t>
  </si>
  <si>
    <t>Prankster's Cheer - Ami</t>
  </si>
  <si>
    <t>Double Trouble - Ami</t>
  </si>
  <si>
    <t>Prankster's Cheer - Mami</t>
  </si>
  <si>
    <t>Double Trouble - Mami</t>
  </si>
  <si>
    <t>120/125/85</t>
  </si>
  <si>
    <t>Th-That Was an Accident!</t>
  </si>
  <si>
    <t>Weapon</t>
  </si>
  <si>
    <t>Image</t>
  </si>
  <si>
    <t>Attack</t>
  </si>
  <si>
    <t>Reload</t>
  </si>
  <si>
    <t>Raw DPS</t>
  </si>
  <si>
    <t>Ammo Type</t>
  </si>
  <si>
    <t>DPS vs. Light</t>
  </si>
  <si>
    <t>DPS Vs. Medium</t>
  </si>
  <si>
    <t>DPS Vs. Heavy</t>
  </si>
  <si>
    <t>Firing Range</t>
  </si>
  <si>
    <t>Shell Range</t>
  </si>
  <si>
    <t>Spread</t>
  </si>
  <si>
    <t>Angle</t>
  </si>
  <si>
    <t>Attribute</t>
  </si>
  <si>
    <t>10x2</t>
  </si>
  <si>
    <t>Normal</t>
  </si>
  <si>
    <t>0°</t>
  </si>
  <si>
    <t>360°</t>
  </si>
  <si>
    <t>Lock-On
Paired</t>
  </si>
  <si>
    <t>Le Temeraire
L'Opiniâtre</t>
  </si>
  <si>
    <t>DPS doesn't factor in LB bonuses like Main Gun+1, so main gun DPS is basically double on those ships, for example.  Triple for most BBs (MG+2, Aux+2).</t>
  </si>
  <si>
    <t>8x1</t>
  </si>
  <si>
    <t>5°</t>
  </si>
  <si>
    <t>Lock-On
Single</t>
  </si>
  <si>
    <t>If you want to see how the DPS was calculated, check out the wiki's weapon tables here: https://azurlane.koumakan.jp/Equipment_List</t>
  </si>
  <si>
    <t>7x2</t>
  </si>
  <si>
    <t>10°</t>
  </si>
  <si>
    <r>
      <rPr>
        <rFont val="Arial"/>
        <sz val="12.0"/>
      </rPr>
      <t xml:space="preserve">If the weapon attribute doesn't say "Lock-On", then the weapon fires straight ahead, regardless of enemy position.
</t>
    </r>
    <r>
      <rPr>
        <rFont val="Arial"/>
        <b/>
        <sz val="12.0"/>
      </rPr>
      <t>DPS value assumes all projectiles hit.</t>
    </r>
  </si>
  <si>
    <t>7x1</t>
  </si>
  <si>
    <t>Normal+</t>
  </si>
  <si>
    <t>Sequential - Fires one projectile after another
Paired - Fires projectiles in pairs
Scattershot - Fires a spread or group of projectiles</t>
  </si>
  <si>
    <t>9x1</t>
  </si>
  <si>
    <t>AP</t>
  </si>
  <si>
    <t>Used mostly for spamming on-shot skill procs and barrages</t>
  </si>
  <si>
    <t>Single 127mm Dual-Purpose Gun</t>
  </si>
  <si>
    <t>8x2</t>
  </si>
  <si>
    <t>Lock-On
Sequential</t>
  </si>
  <si>
    <t>Gear Lab</t>
  </si>
  <si>
    <t>Single 120mm Main Gun M</t>
  </si>
  <si>
    <t>11x1</t>
  </si>
  <si>
    <t>Early Model Single 127mm Gun</t>
  </si>
  <si>
    <t>12x2</t>
  </si>
  <si>
    <t>25°</t>
  </si>
  <si>
    <t>8x5</t>
  </si>
  <si>
    <t>15°</t>
  </si>
  <si>
    <t>Iris of Light and Dark</t>
  </si>
  <si>
    <t>12x3</t>
  </si>
  <si>
    <t>14°</t>
  </si>
  <si>
    <t>9x4</t>
  </si>
  <si>
    <t>HE</t>
  </si>
  <si>
    <t>Lock-On
Sequential Paired</t>
  </si>
  <si>
    <t>Empyreal Tragicomedy</t>
  </si>
  <si>
    <t>12x4</t>
  </si>
  <si>
    <t>Lock-On
Narrow Scattershot?</t>
  </si>
  <si>
    <t>Dunkerque</t>
  </si>
  <si>
    <t>10x3</t>
  </si>
  <si>
    <t>Twin 102mm Secondary Gun Mount Mk XVI</t>
  </si>
  <si>
    <t>11x2</t>
  </si>
  <si>
    <t>100mm Type 88 Naval Gun</t>
  </si>
  <si>
    <t>Single 120mm High-Angle Gun</t>
  </si>
  <si>
    <t>11x3</t>
  </si>
  <si>
    <t>127mm KM40 Twin Gun Mount</t>
  </si>
  <si>
    <t>10x4</t>
  </si>
  <si>
    <t>??</t>
  </si>
  <si>
    <t>11x4</t>
  </si>
  <si>
    <t>6-4, 8-1, 10-1</t>
  </si>
  <si>
    <t>6-1, 7-3, 8-2, 12-4</t>
  </si>
  <si>
    <t>14x4</t>
  </si>
  <si>
    <t>5-1, 11-1</t>
  </si>
  <si>
    <t>Twin 127mm Secondary Gun Mount</t>
  </si>
  <si>
    <t>15x4</t>
  </si>
  <si>
    <t>Lock-On
Scattershot</t>
  </si>
  <si>
    <t>17x4</t>
  </si>
  <si>
    <t>30°</t>
  </si>
  <si>
    <t>4-2, 8-1</t>
  </si>
  <si>
    <t>127mm Type 3 Naval Gun</t>
  </si>
  <si>
    <t>15x3</t>
  </si>
  <si>
    <t>3-2, 10-1, 11-1</t>
  </si>
  <si>
    <t>Good overall DD weapon.</t>
  </si>
  <si>
    <t>Single 138.6mm (Mle 1927)</t>
  </si>
  <si>
    <t>19x4</t>
  </si>
  <si>
    <t>Skybound Oratorio</t>
  </si>
  <si>
    <t>14x5</t>
  </si>
  <si>
    <t>While not as good as the gold version, this is still a very good DD weapon.  Lowest fire rate of the top DD guns though, keep that in mind.</t>
  </si>
  <si>
    <t>25x3</t>
  </si>
  <si>
    <t>Fight on, Royal Maids!</t>
  </si>
  <si>
    <r>
      <rPr>
        <rFont val="Arial"/>
        <sz val="12.0"/>
      </rPr>
      <t xml:space="preserve">I use this on DDs that have lower firepower/gun efficiency but benefit from on-shot skill procs or have good barrages (Eldridge, for example).  </t>
    </r>
    <r>
      <rPr>
        <rFont val="Arial"/>
        <b/>
        <sz val="12.0"/>
      </rPr>
      <t>Essential on Kitakaze.</t>
    </r>
  </si>
  <si>
    <t>5-1, 8-1, 10-3</t>
  </si>
  <si>
    <t>Twin 128mm/45 SK C/41</t>
  </si>
  <si>
    <t>16x4</t>
  </si>
  <si>
    <t>Best option if you want AP guns on ships like Z46 for that extra AP damage skill</t>
  </si>
  <si>
    <t>Twin 120mm Dual-Purpose Gun Mount Mk XI</t>
  </si>
  <si>
    <t>Twin 114mm DP (4.5" MK IV)</t>
  </si>
  <si>
    <t>13x4</t>
  </si>
  <si>
    <t>Research Season 3</t>
  </si>
  <si>
    <t>15x5</t>
  </si>
  <si>
    <t>Get this when it comes up ASAP.  Equip on London, San Diego, Z23, Laffey, or other high-Firepower DDs.</t>
  </si>
  <si>
    <t>15x6</t>
  </si>
  <si>
    <t>Normal*</t>
  </si>
  <si>
    <t>200°</t>
  </si>
  <si>
    <t>Northern Overture</t>
  </si>
  <si>
    <r>
      <rPr>
        <rFont val="Arial"/>
        <sz val="12.0"/>
      </rPr>
      <t xml:space="preserve">I don't even know what's going on anymore...
</t>
    </r>
    <r>
      <rPr>
        <rFont val="Arial"/>
        <b/>
        <sz val="12.0"/>
      </rPr>
      <t>Recommended on Tashkent.</t>
    </r>
  </si>
  <si>
    <t>20x3</t>
  </si>
  <si>
    <t>40°</t>
  </si>
  <si>
    <t>120°</t>
  </si>
  <si>
    <t>Scattershot</t>
  </si>
  <si>
    <t>Yat Sen</t>
  </si>
  <si>
    <t>13x3</t>
  </si>
  <si>
    <t>HE+</t>
  </si>
  <si>
    <t>16x3</t>
  </si>
  <si>
    <t>Triple 180mm B-1-P Pattern 1932 Main Gun Mount</t>
  </si>
  <si>
    <t>21x3</t>
  </si>
  <si>
    <t>APK</t>
  </si>
  <si>
    <t>18°</t>
  </si>
  <si>
    <t>110°</t>
  </si>
  <si>
    <t>Lock-On
Narrow Scattershot</t>
  </si>
  <si>
    <t>21°</t>
  </si>
  <si>
    <t>Twin 152mm Main Gun Mount Mk15</t>
  </si>
  <si>
    <t>45°</t>
  </si>
  <si>
    <t>Twin 152mm Secondary Gun Mount</t>
  </si>
  <si>
    <t>Single 152mm Naval Gun</t>
  </si>
  <si>
    <t>34x3</t>
  </si>
  <si>
    <t>Sequential</t>
  </si>
  <si>
    <t>Damage seems nice, but doesn't aim at enemies and is very inaccurate, would not recommend.</t>
  </si>
  <si>
    <t>21x1</t>
  </si>
  <si>
    <t>2-4, 8-1</t>
  </si>
  <si>
    <t>Single 150mm (TbtsK C/36)</t>
  </si>
  <si>
    <t>Twin 150mm SK C/28 Secondary Gun Mount</t>
  </si>
  <si>
    <t>21x4</t>
  </si>
  <si>
    <t>22x4</t>
  </si>
  <si>
    <t>4-3, 10-1</t>
  </si>
  <si>
    <t>18x4</t>
  </si>
  <si>
    <t>Triple 152mm Main Gun</t>
  </si>
  <si>
    <t>22x6</t>
  </si>
  <si>
    <t>Belfast stock equipment</t>
  </si>
  <si>
    <t>19x6</t>
  </si>
  <si>
    <t>4-2, 9-4, 10-2, 10-3</t>
  </si>
  <si>
    <t>Great on main fleet ships for shooting down multiple suicide ships.  Used a lot if I don't have enough Triple 155mm's</t>
  </si>
  <si>
    <t>17x6</t>
  </si>
  <si>
    <t>Lock-On
Sequential Scattershot</t>
  </si>
  <si>
    <t>6-2, 7-2, 12-3</t>
  </si>
  <si>
    <t>Lock-On
Sequential Tight Scattershot</t>
  </si>
  <si>
    <t>4-2, 9-3, 11-4</t>
  </si>
  <si>
    <t>Damage seems low, but high RoF, velocity, accuracy and AP hitting multiple targets make this weapon really good.  Best option for most loadouts until you get the research weapons.</t>
  </si>
  <si>
    <t>Triple 152mm Main Gun Mount Mk16</t>
  </si>
  <si>
    <t>20x6</t>
  </si>
  <si>
    <t>20°</t>
  </si>
  <si>
    <t>18x6</t>
  </si>
  <si>
    <t>6-2, 8-3</t>
  </si>
  <si>
    <t>DPS seems high, but as a scattershot weapon a fair amount of shots will miss unless you're firing point blank.  Still pretty strong though.  Good as a secondary weapon for BBs/BCs.</t>
  </si>
  <si>
    <t>Triple 152mm (Model 1934)</t>
  </si>
  <si>
    <t>AP*</t>
  </si>
  <si>
    <t>115°</t>
  </si>
  <si>
    <t>24x3</t>
  </si>
  <si>
    <t>AP+</t>
  </si>
  <si>
    <t>Lock-On
Tight Scattershot</t>
  </si>
  <si>
    <t>Research Season 1</t>
  </si>
  <si>
    <t>Swap out your Twin 150mm's for these as you get them.  DPS might seem lackluster but remember AP can hit 2 targets.</t>
  </si>
  <si>
    <t>Prototype Twin 150mm SK C/28 Main Gun</t>
  </si>
  <si>
    <t>APC28</t>
  </si>
  <si>
    <t>130°</t>
  </si>
  <si>
    <t>16x6</t>
  </si>
  <si>
    <t>Prototype Triple 155mm Kai</t>
  </si>
  <si>
    <t>HEK</t>
  </si>
  <si>
    <t>HE++</t>
  </si>
  <si>
    <t>16°</t>
  </si>
  <si>
    <t>Research Season 2</t>
  </si>
  <si>
    <t>DPS Numbers speak for themselves.  Top-tier CL gun, highest damage dealer.</t>
  </si>
  <si>
    <t>28x6</t>
  </si>
  <si>
    <t>12°</t>
  </si>
  <si>
    <t>39x3</t>
  </si>
  <si>
    <t>Triple 203mm Main Gun Mk13</t>
  </si>
  <si>
    <t>44x3</t>
  </si>
  <si>
    <t>34x4</t>
  </si>
  <si>
    <t>Surcouf</t>
  </si>
  <si>
    <t>Only equippable on Surcouf</t>
  </si>
  <si>
    <t>34x8</t>
  </si>
  <si>
    <t>39°</t>
  </si>
  <si>
    <t>48x4</t>
  </si>
  <si>
    <t>4-4, 8-4</t>
  </si>
  <si>
    <t>52x3</t>
  </si>
  <si>
    <t>4-3, 7-3, 8-3, 8-4</t>
  </si>
  <si>
    <t>High spread and meh damage, but fun to use.  Decent RoF.</t>
  </si>
  <si>
    <t>47x6</t>
  </si>
  <si>
    <t>4-3, 4-4, 8-4</t>
  </si>
  <si>
    <t>Twin 203mm Main Gun (Mle 1924)</t>
  </si>
  <si>
    <t>HE*</t>
  </si>
  <si>
    <t>38°</t>
  </si>
  <si>
    <t>46x4</t>
  </si>
  <si>
    <t>4-2, 8-3, 8-4</t>
  </si>
  <si>
    <t>203mm 3rd-Year Type Naval Gun</t>
  </si>
  <si>
    <t>Core Data Exchange</t>
  </si>
  <si>
    <t>50x6</t>
  </si>
  <si>
    <t>7-3, 8-4</t>
  </si>
  <si>
    <t>52x4</t>
  </si>
  <si>
    <t>Prototype Triple 203mm Main Gun Mount Mk IX</t>
  </si>
  <si>
    <t>49x6</t>
  </si>
  <si>
    <t>43x8</t>
  </si>
  <si>
    <t>SAP</t>
  </si>
  <si>
    <t>Triple 203mm Main Gun Mount Mk15</t>
  </si>
  <si>
    <t>51x6</t>
  </si>
  <si>
    <t>22°</t>
  </si>
  <si>
    <t>Prototype Twin 234mm Main Gun (9.2" MK XII)</t>
  </si>
  <si>
    <t>54x4</t>
  </si>
  <si>
    <t>NormalPR</t>
  </si>
  <si>
    <t>Prototype Triple 234mm Main Gun (9.2" MK XII)</t>
  </si>
  <si>
    <t>54x6</t>
  </si>
  <si>
    <t>NormalDR</t>
  </si>
  <si>
    <t>55x6</t>
  </si>
  <si>
    <t>Lock-On
Arcing shots</t>
  </si>
  <si>
    <t>Deutschland/P-class and CB only</t>
  </si>
  <si>
    <t>56x6</t>
  </si>
  <si>
    <t>26°</t>
  </si>
  <si>
    <t>CB only (Large Cruisers) (Azuma)</t>
  </si>
  <si>
    <t>Prototype Triple 305mm Main Gun (SK C/39)</t>
  </si>
  <si>
    <t>105x3</t>
  </si>
  <si>
    <t>Research Season 4</t>
  </si>
  <si>
    <t>74x2</t>
  </si>
  <si>
    <t>50°</t>
  </si>
  <si>
    <t>Fires both shells per volley</t>
  </si>
  <si>
    <t>Mikasa</t>
  </si>
  <si>
    <t>80x3</t>
  </si>
  <si>
    <t>19°</t>
  </si>
  <si>
    <t>Fires all 3 shells per volley</t>
  </si>
  <si>
    <t>84x3</t>
  </si>
  <si>
    <t>88x2</t>
  </si>
  <si>
    <t>356mm 41st-Year Type Naval Gun</t>
  </si>
  <si>
    <t>Twin 406mm Main Gun Mount Mk1</t>
  </si>
  <si>
    <t>106x2</t>
  </si>
  <si>
    <t>Only use for this is on Gangut</t>
  </si>
  <si>
    <t>88x3</t>
  </si>
  <si>
    <t>Fastest firing BB weapon, not recommended, damage output poor.</t>
  </si>
  <si>
    <t>122x2</t>
  </si>
  <si>
    <t>128x2</t>
  </si>
  <si>
    <t>Twin 356mm Main Gun Mount Mk VII</t>
  </si>
  <si>
    <t>116x2</t>
  </si>
  <si>
    <t>Prototype Quadruple 356mm MkB</t>
  </si>
  <si>
    <t>102x4</t>
  </si>
  <si>
    <t>Fires all 4 shells per volley</t>
  </si>
  <si>
    <t>141x3</t>
  </si>
  <si>
    <t>7-4, 9-4</t>
  </si>
  <si>
    <t>99x4</t>
  </si>
  <si>
    <t>Fires 2 shots twice per volley</t>
  </si>
  <si>
    <t>135x3</t>
  </si>
  <si>
    <t>Triple 406mm Main Gun Mount Mk2</t>
  </si>
  <si>
    <t>156x3</t>
  </si>
  <si>
    <t>149x3</t>
  </si>
  <si>
    <t>154x2</t>
  </si>
  <si>
    <t>6-1, 6-3</t>
  </si>
  <si>
    <t>Twin 406mm Main Gun Mount Mk8</t>
  </si>
  <si>
    <t>110x4</t>
  </si>
  <si>
    <t>6-3, 7-3, 12-4</t>
  </si>
  <si>
    <t>Recommended for ships that benefit from high fire rate, strong alternative to the Core Data gold Twin 381mm.</t>
  </si>
  <si>
    <t>410mm Breech-Loading Naval Gun Kai</t>
  </si>
  <si>
    <t>156x2</t>
  </si>
  <si>
    <t>6-2, 6-3</t>
  </si>
  <si>
    <t>Highest DPS and alpha-strike BB gun, use when rate of fire isn't needed (Warspite, Queen Elizabeth, South Dakota, etc.)</t>
  </si>
  <si>
    <t>154x3</t>
  </si>
  <si>
    <t>Usually just break this down for T3 weapon plates.</t>
  </si>
  <si>
    <t>Twin 380mm Main Gun (SK C)</t>
  </si>
  <si>
    <t>132x2</t>
  </si>
  <si>
    <t>Hard to recommend, use Triple 410mm below for AP.</t>
  </si>
  <si>
    <t>108x4</t>
  </si>
  <si>
    <r>
      <rPr>
        <sz val="12.0"/>
      </rPr>
      <t xml:space="preserve">DPS is low, but large spread is useful for clearing groups of enemies if you aren't struggling for damage output.  </t>
    </r>
    <r>
      <rPr>
        <b/>
        <sz val="12.0"/>
      </rPr>
      <t>Recommended on King George V</t>
    </r>
    <r>
      <rPr>
        <sz val="12.0"/>
      </rPr>
      <t>.</t>
    </r>
  </si>
  <si>
    <t>22x20</t>
  </si>
  <si>
    <t>Beehive</t>
  </si>
  <si>
    <t>Shells explode midair into fragments</t>
  </si>
  <si>
    <t>Research Seasons 1 and 2</t>
  </si>
  <si>
    <r>
      <rPr>
        <sz val="12.0"/>
      </rPr>
      <t xml:space="preserve">Wiki DPS assumes all fragments do damage, which is unlikely.  </t>
    </r>
    <r>
      <rPr>
        <b/>
        <sz val="12.0"/>
      </rPr>
      <t>I've halved the DPS numbers</t>
    </r>
    <r>
      <rPr>
        <sz val="12.0"/>
      </rPr>
      <t>.  It may not be accurate, but it feels right from what I've experienced using it.</t>
    </r>
  </si>
  <si>
    <t>120x4</t>
  </si>
  <si>
    <t>Recommended on Jean Bart</t>
  </si>
  <si>
    <t>148x3</t>
  </si>
  <si>
    <t>Only really worth equipping on Littorio.  Has an effect: Increase volley damage by 10%.  After firing two volleys, next volley will have 30% increased reload. (?)</t>
  </si>
  <si>
    <t>133x2</t>
  </si>
  <si>
    <t>Core Data Exchange, Research (All seasons)</t>
  </si>
  <si>
    <t>Best used on ships that benefit from high rate of fire (Hood, Amagi, Arizona, etc.)  Fastest fire rate that can still deal decent damage.</t>
  </si>
  <si>
    <t>Prototype Triple 406mm Main Gun Mount MkD</t>
  </si>
  <si>
    <t>APMKD</t>
  </si>
  <si>
    <t>Prototype Twin 406mm Mk4 Main Gun Mount</t>
  </si>
  <si>
    <t>166x2</t>
  </si>
  <si>
    <t>AP4</t>
  </si>
  <si>
    <t>Increases main gun damage on equipped ship by 10%, but increases reload time by 35% from the 5th shot onward.</t>
  </si>
  <si>
    <t>Direct upgrade from purple Twin 410mm.  Slower RoF than the Twin 381mm, but worth upgrading to this for the damage increase.</t>
  </si>
  <si>
    <t>Prototype Triple 406mm/50 Main Gun</t>
  </si>
  <si>
    <t>150x3</t>
  </si>
  <si>
    <t>AP^</t>
  </si>
  <si>
    <t>Upgrade from Triple 410mm</t>
  </si>
  <si>
    <t>Prototype Triple 406mm M1940</t>
  </si>
  <si>
    <t>153x3</t>
  </si>
  <si>
    <t>142x3</t>
  </si>
  <si>
    <t>I don't think this is worth using over the purple Triple 406mm, unless you really really want that extra couple of milliseconds faster RoF, for less damage.</t>
  </si>
  <si>
    <t>Triple 406mm MK7 Main Gun</t>
  </si>
  <si>
    <t>167x3</t>
  </si>
  <si>
    <t>207x2</t>
  </si>
  <si>
    <t>17°</t>
  </si>
  <si>
    <t>TP</t>
  </si>
  <si>
    <t>108x2</t>
  </si>
  <si>
    <t>60°</t>
  </si>
  <si>
    <r>
      <rPr>
        <sz val="12.0"/>
      </rPr>
      <t xml:space="preserve">DPS per single torpedo: </t>
    </r>
    <r>
      <rPr>
        <b/>
        <sz val="12.0"/>
      </rPr>
      <t>5.56</t>
    </r>
  </si>
  <si>
    <t>150x2</t>
  </si>
  <si>
    <t>Longlance</t>
  </si>
  <si>
    <r>
      <rPr>
        <sz val="12.0"/>
      </rPr>
      <t xml:space="preserve">DPS per single torpedo: </t>
    </r>
    <r>
      <rPr>
        <b/>
        <sz val="12.0"/>
      </rPr>
      <t>7.23</t>
    </r>
  </si>
  <si>
    <t>116x3</t>
  </si>
  <si>
    <r>
      <rPr>
        <sz val="12.0"/>
      </rPr>
      <t xml:space="preserve">DPS per single torpedo: </t>
    </r>
    <r>
      <rPr>
        <b/>
        <sz val="12.0"/>
      </rPr>
      <t>5.3</t>
    </r>
  </si>
  <si>
    <t>533mm Triple Torpedo Mount MkIX</t>
  </si>
  <si>
    <t>128x3</t>
  </si>
  <si>
    <t>533mm Triple Torpedo Mount Mk17</t>
  </si>
  <si>
    <t>120x3</t>
  </si>
  <si>
    <t>145x3</t>
  </si>
  <si>
    <t>Homing</t>
  </si>
  <si>
    <r>
      <rPr>
        <sz val="12.0"/>
      </rPr>
      <t xml:space="preserve">DPS per single torpedo: </t>
    </r>
    <r>
      <rPr>
        <b/>
        <sz val="12.0"/>
      </rPr>
      <t>6.53</t>
    </r>
  </si>
  <si>
    <t>133x4</t>
  </si>
  <si>
    <t>Ironblood crates</t>
  </si>
  <si>
    <r>
      <rPr>
        <sz val="12.0"/>
      </rPr>
      <t xml:space="preserve">DPS per single torpedo: </t>
    </r>
    <r>
      <rPr>
        <b/>
        <sz val="12.0"/>
      </rPr>
      <t>4.96</t>
    </r>
  </si>
  <si>
    <t>123x5</t>
  </si>
  <si>
    <r>
      <rPr>
        <sz val="12.0"/>
      </rPr>
      <t xml:space="preserve">DPS per single torpedo: </t>
    </r>
    <r>
      <rPr>
        <b/>
        <sz val="12.0"/>
      </rPr>
      <t>3.79</t>
    </r>
  </si>
  <si>
    <t>162x3</t>
  </si>
  <si>
    <r>
      <rPr>
        <sz val="12.0"/>
      </rPr>
      <t xml:space="preserve">DPS per single torpedo: </t>
    </r>
    <r>
      <rPr>
        <b/>
        <sz val="12.0"/>
      </rPr>
      <t>7.83</t>
    </r>
  </si>
  <si>
    <t>206x3</t>
  </si>
  <si>
    <t>3-3, 4-1, 8-2</t>
  </si>
  <si>
    <r>
      <rPr>
        <sz val="12.0"/>
      </rPr>
      <t xml:space="preserve">DPS per single torpedo: </t>
    </r>
    <r>
      <rPr>
        <b/>
        <sz val="12.0"/>
      </rPr>
      <t>8.4</t>
    </r>
  </si>
  <si>
    <t>610mm Triple Torpedo Mount Kai</t>
  </si>
  <si>
    <t>210x3</t>
  </si>
  <si>
    <t>178x4</t>
  </si>
  <si>
    <t>4-4, 6-4, 10-4, 11-2, 12-2</t>
  </si>
  <si>
    <r>
      <rPr>
        <sz val="12.0"/>
      </rPr>
      <t xml:space="preserve">DPS per single torpedo: </t>
    </r>
    <r>
      <rPr>
        <b/>
        <sz val="12.0"/>
      </rPr>
      <t>5.93</t>
    </r>
  </si>
  <si>
    <t>156x4</t>
  </si>
  <si>
    <r>
      <rPr>
        <sz val="12.0"/>
      </rPr>
      <t xml:space="preserve">DPS per single torpedo: </t>
    </r>
    <r>
      <rPr>
        <b/>
        <sz val="12.0"/>
      </rPr>
      <t>6.74</t>
    </r>
  </si>
  <si>
    <t>533mm Quadruple Torpedo Mount MkIX</t>
  </si>
  <si>
    <t>172x4</t>
  </si>
  <si>
    <t>533mm Quadruple Torpedo Mount Mk17</t>
  </si>
  <si>
    <t>160x4</t>
  </si>
  <si>
    <t>48°</t>
  </si>
  <si>
    <t>140x5</t>
  </si>
  <si>
    <r>
      <rPr>
        <sz val="12.0"/>
      </rPr>
      <t xml:space="preserve">DPS per single torpedo: </t>
    </r>
    <r>
      <rPr>
        <b/>
        <sz val="12.0"/>
      </rPr>
      <t>5.03</t>
    </r>
  </si>
  <si>
    <t>145x4</t>
  </si>
  <si>
    <r>
      <rPr>
        <sz val="12.0"/>
      </rPr>
      <t xml:space="preserve">DPS per single torpedo: </t>
    </r>
    <r>
      <rPr>
        <b/>
        <sz val="12.0"/>
      </rPr>
      <t>5.69</t>
    </r>
  </si>
  <si>
    <t>133x5</t>
  </si>
  <si>
    <r>
      <rPr>
        <sz val="12.0"/>
      </rPr>
      <t xml:space="preserve">DPS per single torpedo: </t>
    </r>
    <r>
      <rPr>
        <b/>
        <sz val="12.0"/>
      </rPr>
      <t>4.3</t>
    </r>
  </si>
  <si>
    <t>206x4</t>
  </si>
  <si>
    <t>6-4, 8-2, 10-4, 11-2, 12-2</t>
  </si>
  <si>
    <r>
      <rPr>
        <sz val="12.0"/>
      </rPr>
      <t xml:space="preserve">DPS per single torpedo: </t>
    </r>
    <r>
      <rPr>
        <b/>
        <sz val="12.0"/>
      </rPr>
      <t>7.22</t>
    </r>
  </si>
  <si>
    <t>610mm Quadruple Torpedo Mount Kai</t>
  </si>
  <si>
    <t>210x4</t>
  </si>
  <si>
    <t>156x5</t>
  </si>
  <si>
    <r>
      <rPr>
        <sz val="12.0"/>
      </rPr>
      <t xml:space="preserve">DPS per single torpedo: </t>
    </r>
    <r>
      <rPr>
        <b/>
        <sz val="12.0"/>
      </rPr>
      <t>5.9</t>
    </r>
  </si>
  <si>
    <t>533mm Quintuple Torpedo Mount Mk17</t>
  </si>
  <si>
    <t>160x5</t>
  </si>
  <si>
    <t>533mm Quintuple Torpedo Mount MkIX</t>
  </si>
  <si>
    <t>172x5</t>
  </si>
  <si>
    <t>145x5</t>
  </si>
  <si>
    <t>Opposite Colored Event</t>
  </si>
  <si>
    <r>
      <rPr>
        <sz val="12.0"/>
      </rPr>
      <t xml:space="preserve">DPS per single torpedo: </t>
    </r>
    <r>
      <rPr>
        <b/>
        <sz val="12.0"/>
      </rPr>
      <t>4.93</t>
    </r>
  </si>
  <si>
    <t>610mm Quintuple Torpedo</t>
  </si>
  <si>
    <t>190x5</t>
  </si>
  <si>
    <t>72°</t>
  </si>
  <si>
    <t>Shimmering Blue Event</t>
  </si>
  <si>
    <t>131x3</t>
  </si>
  <si>
    <t>80°</t>
  </si>
  <si>
    <t>135x2</t>
  </si>
  <si>
    <t>Mark 18 Torpedo</t>
  </si>
  <si>
    <t>120x2</t>
  </si>
  <si>
    <t>Type 92 Torpedo Kai</t>
  </si>
  <si>
    <t>Mark VIII Torpedo</t>
  </si>
  <si>
    <t>159x3</t>
  </si>
  <si>
    <t>163x3</t>
  </si>
  <si>
    <t>90°</t>
  </si>
  <si>
    <t>157x2</t>
  </si>
  <si>
    <t>144x2</t>
  </si>
  <si>
    <t>181x3</t>
  </si>
  <si>
    <t>Mark 12 "Ferry" Torpedo</t>
  </si>
  <si>
    <t>139x3</t>
  </si>
  <si>
    <t>Mark 20 "Bidder" Torpedo</t>
  </si>
  <si>
    <t>171x3</t>
  </si>
  <si>
    <t>Apparently the Bidder has 10% less effectiveness vs. Light and Heavy armor compared to other torpedoes.</t>
  </si>
  <si>
    <t>174x2</t>
  </si>
  <si>
    <t>Mark 28 Torpedo</t>
  </si>
  <si>
    <t>149x2</t>
  </si>
  <si>
    <t>160x2</t>
  </si>
  <si>
    <t>Type 96 Torpedo</t>
  </si>
  <si>
    <t>180x2</t>
  </si>
  <si>
    <t>Aircraft</t>
  </si>
  <si>
    <t>Ordnance Armament</t>
  </si>
  <si>
    <t>Crash Damage</t>
  </si>
  <si>
    <t>AA Armament</t>
  </si>
  <si>
    <t>AA Burst</t>
  </si>
  <si>
    <t>AA DPS</t>
  </si>
  <si>
    <t>Tier</t>
  </si>
  <si>
    <t>Fighter</t>
  </si>
  <si>
    <t>4 x 12.7mm MG</t>
  </si>
  <si>
    <t>T3</t>
  </si>
  <si>
    <t>2 x 7.7mm MG</t>
  </si>
  <si>
    <t>T0</t>
  </si>
  <si>
    <t>Skybound Oratorio
(Bearn)</t>
  </si>
  <si>
    <t>4 x 7.7mm MG</t>
  </si>
  <si>
    <t>Sea Hurricane</t>
  </si>
  <si>
    <t>Ar-197</t>
  </si>
  <si>
    <t>4 x 100lb Bombs</t>
  </si>
  <si>
    <t>2 x 7.92mm MG
2 x 20mm AC</t>
  </si>
  <si>
    <t>6 x 12.7mm MG</t>
  </si>
  <si>
    <t>Prototype Carrier-Based
Fw 190 A-5</t>
  </si>
  <si>
    <t>2 x 7.92mm MG
2 x 20mm AC
3 x 20mm AC</t>
  </si>
  <si>
    <t>2 x 13mm MG
3 x 20mm AC</t>
  </si>
  <si>
    <t>T2</t>
  </si>
  <si>
    <t>2 x 12.7mm MG
2 x 20mm AC</t>
  </si>
  <si>
    <t>Re.2001 Ariete Fighter</t>
  </si>
  <si>
    <t>1 x 100lb Bomb</t>
  </si>
  <si>
    <t>2 x 7.7mm MG
2 x 12.7mm MG</t>
  </si>
  <si>
    <t>G.50 Freccia Fighter</t>
  </si>
  <si>
    <t>2 x 100lb Bombs</t>
  </si>
  <si>
    <t>2 x 7.7mm MG
2 x 20mm AC</t>
  </si>
  <si>
    <t>Prototype XF2A-4 Buffalo</t>
  </si>
  <si>
    <r>
      <rPr>
        <rFont val="arial,sans,sans-serif"/>
        <sz val="12.0"/>
      </rPr>
      <t xml:space="preserve">2 </t>
    </r>
    <r>
      <rPr>
        <rFont val="arial,sans,sans-serif"/>
        <sz val="12.0"/>
      </rPr>
      <t>x 100lb Bombs</t>
    </r>
  </si>
  <si>
    <r>
      <rPr>
        <sz val="12.0"/>
      </rPr>
      <t>2</t>
    </r>
    <r>
      <rPr>
        <sz val="12.0"/>
      </rPr>
      <t xml:space="preserve"> x 100lb Bombs</t>
    </r>
  </si>
  <si>
    <t>Type 0 Model 32</t>
  </si>
  <si>
    <r>
      <rPr>
        <sz val="12.0"/>
      </rPr>
      <t>2</t>
    </r>
    <r>
      <rPr>
        <sz val="12.0"/>
      </rPr>
      <t xml:space="preserve"> x 100lb Bombs</t>
    </r>
  </si>
  <si>
    <r>
      <rPr>
        <rFont val="arial,sans,sans-serif"/>
        <sz val="12.0"/>
      </rPr>
      <t xml:space="preserve">2 </t>
    </r>
    <r>
      <rPr>
        <rFont val="arial,sans,sans-serif"/>
        <sz val="12.0"/>
      </rPr>
      <t>x 100lb Bombs</t>
    </r>
  </si>
  <si>
    <r>
      <rPr>
        <sz val="12.0"/>
      </rPr>
      <t xml:space="preserve">1 </t>
    </r>
    <r>
      <rPr>
        <sz val="12.0"/>
      </rPr>
      <t>x 500lb Bomb</t>
    </r>
  </si>
  <si>
    <t>4 x 7.7mm MG
2 x 20mm AC</t>
  </si>
  <si>
    <r>
      <rPr>
        <rFont val="arial,sans,sans-serif"/>
        <sz val="12.0"/>
      </rPr>
      <t xml:space="preserve">2 </t>
    </r>
    <r>
      <rPr>
        <rFont val="arial,sans,sans-serif"/>
        <sz val="12.0"/>
      </rPr>
      <t>x 500lb Bombs</t>
    </r>
  </si>
  <si>
    <t>4 x 12.7mm MG
2 x 20mm AC</t>
  </si>
  <si>
    <r>
      <rPr>
        <rFont val="arial,sans,sans-serif"/>
        <sz val="12.0"/>
      </rPr>
      <t xml:space="preserve">2 </t>
    </r>
    <r>
      <rPr>
        <rFont val="arial,sans,sans-serif"/>
        <sz val="12.0"/>
      </rPr>
      <t>x 500lb Bombs</t>
    </r>
  </si>
  <si>
    <t>4 x 20mm AC</t>
  </si>
  <si>
    <r>
      <rPr>
        <rFont val="arial,sans,sans-serif"/>
        <sz val="12.0"/>
      </rPr>
      <t xml:space="preserve">2 </t>
    </r>
    <r>
      <rPr>
        <rFont val="arial,sans,sans-serif"/>
        <sz val="12.0"/>
      </rPr>
      <t>x 500lb Bombs</t>
    </r>
  </si>
  <si>
    <t>Visitors Dyed in Red</t>
  </si>
  <si>
    <r>
      <rPr>
        <sz val="12.0"/>
      </rPr>
      <t xml:space="preserve">2 </t>
    </r>
    <r>
      <rPr>
        <sz val="12.0"/>
      </rPr>
      <t>x 500lb Bombs</t>
    </r>
  </si>
  <si>
    <t>Increase all Fighter efficiency by 4%</t>
  </si>
  <si>
    <t>Divergent Chessboard</t>
  </si>
  <si>
    <t>Seafire FR.47</t>
  </si>
  <si>
    <r>
      <rPr>
        <sz val="12.0"/>
      </rPr>
      <t xml:space="preserve">1 </t>
    </r>
    <r>
      <rPr>
        <sz val="12.0"/>
      </rPr>
      <t>x 500lb Bomb</t>
    </r>
  </si>
  <si>
    <t>F8F Bearcat</t>
  </si>
  <si>
    <t>1 x 1000lb Bomb</t>
  </si>
  <si>
    <t>2 x 500lb Bombs</t>
  </si>
  <si>
    <t>Midsummer Sagittarius
Core Data</t>
  </si>
  <si>
    <t>Can also be acquired through research</t>
  </si>
  <si>
    <t>Kawanishi N1K3-A Shiden Kai 2</t>
  </si>
  <si>
    <t>4 x 20mm AC
2 x 13mm AC</t>
  </si>
  <si>
    <t>Dreamwaker's Butterfly</t>
  </si>
  <si>
    <t>Fallen Wings
Core Data</t>
  </si>
  <si>
    <t>Increases fleet AA by 5% for 8 seconds after launch</t>
  </si>
  <si>
    <t>Prototype
BF-109G</t>
  </si>
  <si>
    <t>4 x AP Rockets</t>
  </si>
  <si>
    <t>2 x 7.92mm MG
1 x 20mm AC</t>
  </si>
  <si>
    <t>Does not intercept, fires accurate AP rockets instead of bombs, good for concentrated damage</t>
  </si>
  <si>
    <t>F7F Tigercat</t>
  </si>
  <si>
    <t>2 x 1000lb Bombs</t>
  </si>
  <si>
    <t>Sea Hornet</t>
  </si>
  <si>
    <t>Aurora Noctis</t>
  </si>
  <si>
    <t>Dive Bomber</t>
  </si>
  <si>
    <t>He-50b</t>
  </si>
  <si>
    <t>1 x 500lb Bomb</t>
  </si>
  <si>
    <t>2 x 7.92mm MG</t>
  </si>
  <si>
    <t>4x7.7mm MG</t>
  </si>
  <si>
    <t>1 x 2000lb Bomb
2 x 100lb Bombs</t>
  </si>
  <si>
    <t>2x12.7mm MG</t>
  </si>
  <si>
    <t>8x7.7mm MG</t>
  </si>
  <si>
    <t>1 x 500lb Bomb
2 x 100lb Bomb</t>
  </si>
  <si>
    <t>Type 99 Kai</t>
  </si>
  <si>
    <t>1 x 1000lb Bomb
2 x 100lb Bombs</t>
  </si>
  <si>
    <t>2x7.7mm MG</t>
  </si>
  <si>
    <t>2 x 1600lb Bombs</t>
  </si>
  <si>
    <t>2x20mm AC</t>
  </si>
  <si>
    <t>1 x 1000lb Bomb
4 x 100lb Bombs</t>
  </si>
  <si>
    <t>3x7.92mm MG</t>
  </si>
  <si>
    <t>1 x 2000lb Bomb
2 x 500lb Bombs</t>
  </si>
  <si>
    <t>1 x 1600lb AP Bomb</t>
  </si>
  <si>
    <t>24% chance to break armor on any armor type.</t>
  </si>
  <si>
    <t>Increase airstrike damage to carriers by 5%</t>
  </si>
  <si>
    <t>Suisei Model 12A</t>
  </si>
  <si>
    <t>Experimental XSB3C-1</t>
  </si>
  <si>
    <t>Tenrai J5N</t>
  </si>
  <si>
    <t>3 x 800kg AP Bombs</t>
  </si>
  <si>
    <t>2 x 20mm AC
2 x 30mm AC</t>
  </si>
  <si>
    <t>Torpedo Bomber</t>
  </si>
  <si>
    <r>
      <rPr>
        <color rgb="FF1155CC"/>
        <sz val="12.0"/>
        <u/>
      </rPr>
      <t>Nakajumi B5N</t>
    </r>
    <r>
      <rPr>
        <color rgb="FF000000"/>
        <sz val="12.0"/>
        <u/>
      </rPr>
      <t xml:space="preserve"> (Type 97)</t>
    </r>
  </si>
  <si>
    <t>2 x Sakura
Torpedo</t>
  </si>
  <si>
    <t>Ar-195</t>
  </si>
  <si>
    <t>2 x Ironblood Torpedo</t>
  </si>
  <si>
    <t>Ironblood torps converge like Sakura torps do, I believe</t>
  </si>
  <si>
    <r>
      <rPr>
        <color rgb="FF1155CC"/>
        <sz val="12.0"/>
        <u/>
      </rPr>
      <t>Type 97 Kai</t>
    </r>
    <r>
      <rPr>
        <color rgb="FF000000"/>
        <sz val="12.0"/>
        <u/>
      </rPr>
      <t xml:space="preserve"> (B5N2)</t>
    </r>
  </si>
  <si>
    <t xml:space="preserve">3 x Iris
Torpedo </t>
  </si>
  <si>
    <t>2 x Common
Torpedo</t>
  </si>
  <si>
    <t>Fi-167</t>
  </si>
  <si>
    <t>3 x Common
Torpedo</t>
  </si>
  <si>
    <t>3 x Sakura
Torpedo</t>
  </si>
  <si>
    <t>1 x 13mm MG
2 x 20mm AC</t>
  </si>
  <si>
    <r>
      <rPr>
        <color rgb="FF1155CC"/>
        <sz val="12.0"/>
        <u/>
      </rPr>
      <t>Tenzan Kai</t>
    </r>
    <r>
      <rPr>
        <color rgb="FF000000"/>
        <sz val="12.0"/>
        <u/>
      </rPr>
      <t xml:space="preserve"> (B6N2)</t>
    </r>
  </si>
  <si>
    <t>1 x 13mm MG
1 x 7.92mm MG</t>
  </si>
  <si>
    <t>3x7.7mm MG</t>
  </si>
  <si>
    <t>Air Raid Drills with Essex</t>
  </si>
  <si>
    <t>First airstrke launches TBF Devastators, subsequent airstrikes will launch TBF Avengers.</t>
  </si>
  <si>
    <t>1x13mm MG
2x20mm AC</t>
  </si>
  <si>
    <t>Ju-87 D-4</t>
  </si>
  <si>
    <t>3 x Ironblood Torpedo</t>
  </si>
  <si>
    <t>3 x 7.92mm MG</t>
  </si>
  <si>
    <t>Saiun C6N</t>
  </si>
  <si>
    <t>1 x 7.92mm MG</t>
  </si>
  <si>
    <t>3 x 818
Torpedo</t>
  </si>
  <si>
    <t>Reduces speed of enemies hit by 60% for 8 seconds</t>
  </si>
  <si>
    <t>Firecrest</t>
  </si>
  <si>
    <t>Equipped ship deals 3% more damage to BB/BCs, 60% chance to flood hit BB/BC/BBVs.</t>
  </si>
  <si>
    <t>XBT2D-1 Destroyer II</t>
  </si>
  <si>
    <t>4 x Common Torpedo</t>
  </si>
  <si>
    <t>7 x 12.7mm MG</t>
  </si>
  <si>
    <t>Wyvern</t>
  </si>
  <si>
    <t>Will launch like fighters to intercept enemy aircraft</t>
  </si>
  <si>
    <t>Type 2 Seaplane Fighter</t>
  </si>
  <si>
    <t>Can intercept enemy planes</t>
  </si>
  <si>
    <t>1 x 1600lb Bomb</t>
  </si>
  <si>
    <t>1 x 13mm MG</t>
  </si>
  <si>
    <t>Damage increased by 60% when used by SSVs</t>
  </si>
  <si>
    <t>N1K1 Kyoufuu</t>
  </si>
  <si>
    <t>Suisei Model 21</t>
  </si>
  <si>
    <t>Damage</t>
  </si>
  <si>
    <t>DPS</t>
  </si>
  <si>
    <t>DPS+</t>
  </si>
  <si>
    <t>Range</t>
  </si>
  <si>
    <t>Sextuple 40mm Bofors</t>
  </si>
  <si>
    <t>5-4, 11-3</t>
  </si>
  <si>
    <t>Twin 76mm AA Gun</t>
  </si>
  <si>
    <t>Twin 105mm SK C/33 na</t>
  </si>
  <si>
    <t>Increases Accuracy by 10</t>
  </si>
  <si>
    <t>9-1, 10-1</t>
  </si>
  <si>
    <t>Essex event, Research Season 2 and 3</t>
  </si>
  <si>
    <t>Increases Accuracy by 5</t>
  </si>
  <si>
    <t>7-2, 11-4</t>
  </si>
  <si>
    <t>25mm Type 96 Triple AT/AA Gun</t>
  </si>
  <si>
    <t>127mm Type 89 High-Angle Gun</t>
  </si>
  <si>
    <t>Gives 15 Firepower along with 30 AA, instead of the usual 45 AA that other gold AA guns give.  Probably best used on DDs.</t>
  </si>
  <si>
    <t>5-4, 9-1</t>
  </si>
  <si>
    <t>120mm High-Angle Gun MkVIII</t>
  </si>
  <si>
    <t>4-4, 12-4</t>
  </si>
  <si>
    <t>Twin 88mm SK C/32 AA Gun Mount</t>
  </si>
  <si>
    <t>80mm High-Angle Gun</t>
  </si>
  <si>
    <t>4-2, 8-2</t>
  </si>
  <si>
    <t>3-3, 9-2</t>
  </si>
  <si>
    <t>Quadruple 20mm Oerlikon Mk15</t>
  </si>
  <si>
    <t>5-3, 9-4, 10-2, 10-3</t>
  </si>
  <si>
    <t>Twin 40mm Bofors MkI</t>
  </si>
  <si>
    <t>Twin 37mm Flak M43 AA Gun</t>
  </si>
  <si>
    <t>4-3, 9-1, 10-4, 12-2</t>
  </si>
  <si>
    <t>Improved 76mm AA Gun</t>
  </si>
  <si>
    <t>5-2, 9-2</t>
  </si>
  <si>
    <t>5-3, 11-1</t>
  </si>
  <si>
    <t>3-4, 8-3</t>
  </si>
  <si>
    <t>76mm AA Type 3</t>
  </si>
  <si>
    <t>7-2, 8-3</t>
  </si>
  <si>
    <t>4-1, 12-1, 12-2</t>
  </si>
  <si>
    <t>20mm Oerlikon MkII</t>
  </si>
  <si>
    <t>Name</t>
  </si>
  <si>
    <t>Acquisiton/Drop</t>
  </si>
  <si>
    <t>Chance of catching fire reduced by 30%
Reduces duration of fires by 6 seconds
Reduce damage taken from fire by 20%</t>
  </si>
  <si>
    <t>6-3, 10-1, 11-3</t>
  </si>
  <si>
    <t>Heal 1% max HP every 15 seconds</t>
  </si>
  <si>
    <t>3-4, 10-3</t>
  </si>
  <si>
    <t>Reduce damage taken by Torpedoes by 30%
Can't be equipped on DDs</t>
  </si>
  <si>
    <t>4-1, 7-4, 10-2</t>
  </si>
  <si>
    <t>When equipped on a ship with heavy armor;
Decrease AP taken by 4% and reduce HE/Normal damage taken by 2%.</t>
  </si>
  <si>
    <t>Crosswave event reward</t>
  </si>
  <si>
    <t>Ship equipped with this takes 6% less damage from Sirens.  Doesn't stack with similar skills.</t>
  </si>
  <si>
    <t>"Approaching Storm" Event reward</t>
  </si>
  <si>
    <t>Increases HP of carrier aircraft by 140.
Increase flight speed of carrier aircraft by 5.</t>
  </si>
  <si>
    <t>Increase HP of carrier aircraft by 120</t>
  </si>
  <si>
    <t>Increase chance to evade Ambushes by 8%
Reduce chance of encountering Ambush/Airstrike by 8%</t>
  </si>
  <si>
    <t>Event Reward</t>
  </si>
  <si>
    <t>Doesn't stack with Improved Snorkel</t>
  </si>
  <si>
    <t>"Opposite-Colored"
Event reward</t>
  </si>
  <si>
    <t>3-1, 9-2, 10-4</t>
  </si>
  <si>
    <t>6-2, 10-2</t>
  </si>
  <si>
    <t>4-3, 10-3</t>
  </si>
  <si>
    <t>Decrease spread of main gun on equipped ship.</t>
  </si>
  <si>
    <t>Decrease cooldown of airstrikes by 4%</t>
  </si>
  <si>
    <t>5-1, 9-1</t>
  </si>
  <si>
    <t>2-3, 2-4</t>
  </si>
  <si>
    <t>Increase shelling critical damage by 25%</t>
  </si>
  <si>
    <t>Tech Crates</t>
  </si>
  <si>
    <t>Pressure-Resistant Hull Design</t>
  </si>
  <si>
    <t>Increases equipped submarine's Speed by 20% and moves it forward another 8 units after it enters battle.</t>
  </si>
  <si>
    <t>When equipped on a ship with Heavy Armor;  Decrease AP taken by 6% and reduce HE/Normal damage taken by 3%.
If equipped on a ship with Light or Medium Armor, upgrade to Heavy Armor.</t>
  </si>
  <si>
    <t>Reduce chance of encountering Ambush/Airstrikes by 12%</t>
  </si>
  <si>
    <t>Research (All seasons)</t>
  </si>
  <si>
    <t>Reduce cooldown of first shelling by 15%</t>
  </si>
  <si>
    <t>"Fallen Wings"
Event reward,
Research Season 3</t>
  </si>
  <si>
    <t>Doesn't stack with Compressed Oxygen Cylinder</t>
  </si>
  <si>
    <t>30% chance every 20 seconds to activate perfect dodge for 2 seconds.</t>
  </si>
  <si>
    <t>Increase sub hunting range by 2</t>
  </si>
  <si>
    <t>Increase speed of all ships by 20%</t>
  </si>
  <si>
    <t>Collection Reward</t>
  </si>
  <si>
    <t>When equipped ship sinks, heal all ships in fleet by 10%</t>
  </si>
  <si>
    <t>Increase chance to evade Ambushes by 12%
Reduce chance of encountering Ambush/Airstrike by 12%</t>
  </si>
  <si>
    <t>6-1, 10-2</t>
  </si>
  <si>
    <t>Heal 15 HP to most damaged ship every 5 seconds.
Can only be equipped on Repair Ships</t>
  </si>
  <si>
    <t>Tech crates
(Purple: 3-2, 7-2, 11-1)</t>
  </si>
  <si>
    <t>Increase shelling critical chance by 8%</t>
  </si>
  <si>
    <t>When equipped on Akashi, increase healing effects by 20%</t>
  </si>
  <si>
    <t>Akashi's questline</t>
  </si>
  <si>
    <t>When equipped on Mikasa: Increase Luck by 5, crit rate by 5%, and increase fleet Firepower and Accuracy by 5%</t>
  </si>
  <si>
    <t>"Return of the War God" Event reward</t>
  </si>
  <si>
    <t>U-556: Increase time in combat after surfacing by 4 seconds, increases hunting range by one.
Bismarck: Out of ammo debuff lowers damage by 35% instead of 50%.</t>
  </si>
  <si>
    <t>"One Small Promise" event reward</t>
  </si>
  <si>
    <t>During Kizuna Ai event, changes movement pattern of vanguard fleet during auto-combat when equipped.</t>
  </si>
  <si>
    <t>"Virtual Connection Synchronicity" Event reward</t>
  </si>
  <si>
    <t>Any ship equipped with this is considered a Kizuna Ai ship.</t>
  </si>
  <si>
    <t>During Kizuna Ai event, randomizes weapon skins during sorties.</t>
  </si>
  <si>
    <t>When equipped on an Anshan-class ship, increase main gun damage by 16% and improve barrage</t>
  </si>
  <si>
    <t>When equipped on a Hololive ship, increases their damage by 3%</t>
  </si>
  <si>
    <t>When equipped on a Hololive ship, decreases their damage taken by 3%</t>
  </si>
  <si>
    <t>Changes battle music when equipped.</t>
  </si>
  <si>
    <t>Any ship equipped with this is considered a Hololive ship</t>
  </si>
  <si>
    <t>533mm Magnetic Torpedo</t>
  </si>
  <si>
    <t>Changes first torpedo salvo on equipped ship to magnetic torpedoes and increases damage by 5%.</t>
  </si>
  <si>
    <t>"Aurora Noctis" Event reward</t>
  </si>
  <si>
    <t>Intel Report - Arctic Stronghold</t>
  </si>
  <si>
    <t>Ship equipped with this takes 6% less damage from Sirens.  Does not stack with skills that have a similar effect</t>
  </si>
  <si>
    <t>Decrease Ambush chance by 10%
Increase Ambush evasion chance by 10%
Has extra use when equipped on USS Cooper</t>
  </si>
  <si>
    <t>40cm Type 94 Naval Gun Parts</t>
  </si>
  <si>
    <t>Increases Main Fleet and CB Firepower by 10% when equipped on Kashino.</t>
  </si>
  <si>
    <t>"Dreamwaker's Butterfly" Event reward</t>
  </si>
  <si>
    <t>Aviation Materials</t>
  </si>
  <si>
    <t>Increases fleet's Aviation by 8% when equipped by a Munition Ship.</t>
  </si>
  <si>
    <t>Small-Caliber Naval Gun Parts</t>
  </si>
  <si>
    <t>Increases Vanguard's Firepower by 8% when equipped by a Munition Ship.</t>
  </si>
  <si>
    <t>Torpedo Materials</t>
  </si>
  <si>
    <t>Increases fleet's Torpedo stat by 8% when equipped by a Munition Ship.</t>
  </si>
  <si>
    <t>Awakening Pearl</t>
  </si>
  <si>
    <t>When equipped by a Venus Vacation ship: Increase the ship's damage dealt by 3%</t>
  </si>
  <si>
    <t>Venus Vacation</t>
  </si>
  <si>
    <t>Celestial Body</t>
  </si>
  <si>
    <t>Equipped ship is considered a 'muse' ship.</t>
  </si>
  <si>
    <t>Universe in Unison</t>
  </si>
  <si>
    <t>Cosmic Kicks</t>
  </si>
  <si>
    <t>Eagle union Elite Damage Control</t>
  </si>
  <si>
    <t>When the equipped ship reaches 0 HP, it survives and becomes invulnerable for 8 seconds, and then sinks.
Eagle Union only.</t>
  </si>
  <si>
    <t>Frontier Medal</t>
  </si>
  <si>
    <t>[Exercise Gear (Only 1 works at a time)]
When equipped on flagship; increases both sides' CVs/CVLs damage by 10% and decreases both sides' BB damage by 10%</t>
  </si>
  <si>
    <t>Heart Key</t>
  </si>
  <si>
    <t>Nelson's Pennant of Victory</t>
  </si>
  <si>
    <t>For 6 seconds after battle starts, the equipped ship will absorb 24% of the damage the lead Vanguard ship in the fleet takes.</t>
  </si>
  <si>
    <t>Resplendent Astrum</t>
  </si>
  <si>
    <t>Sacred Lumière</t>
  </si>
  <si>
    <t>White-Hot Verheerender</t>
  </si>
  <si>
    <t>Washington Naval Treaty</t>
  </si>
  <si>
    <t>[Exercise Gear (Only 1 works at a time)]
When equipped on flagship; Decreases damage dealt by both sides by 15%</t>
  </si>
  <si>
    <t>Shining Bracelet</t>
  </si>
  <si>
    <t>When equipped on an Idolmaster ship, decrease equipped ship's damage taken by 5% for 76s after battle starts</t>
  </si>
  <si>
    <t>Idolmaster Collab</t>
  </si>
  <si>
    <t>FuMO 25</t>
  </si>
  <si>
    <t>37x3</t>
  </si>
  <si>
    <t>61x3</t>
  </si>
  <si>
    <t>Only equippable on CVLs and Warspite Retro</t>
  </si>
  <si>
    <t>Wide-area depth charge
Only equippable on CVLs and Warspite Retro</t>
  </si>
  <si>
    <t>"Hedgehog" Anti-Submarine Mortar</t>
  </si>
  <si>
    <t>Increased range</t>
  </si>
  <si>
    <t>Scherzo event</t>
  </si>
  <si>
    <t>Only equippable on Koln, after her retrofit.</t>
  </si>
  <si>
    <t>4.8s sonar ping intervals</t>
  </si>
  <si>
    <t>4.5s sonar ping intervals</t>
  </si>
  <si>
    <t>Increases scan range by 5</t>
  </si>
  <si>
    <t>Increases scan range by 8.  Decreases Torpedo of spotted enemy subs by 5%.</t>
  </si>
  <si>
    <t>Portrait</t>
  </si>
  <si>
    <t>Nation</t>
  </si>
  <si>
    <t>Logistics</t>
  </si>
  <si>
    <t>Directives</t>
  </si>
  <si>
    <t>Tactics</t>
  </si>
  <si>
    <t>Skill Name</t>
  </si>
  <si>
    <t>Skill lvl 1</t>
  </si>
  <si>
    <t>Skill lvl 2</t>
  </si>
  <si>
    <t>Skill lvl 3</t>
  </si>
  <si>
    <t>Build Time</t>
  </si>
  <si>
    <t>Tags</t>
  </si>
  <si>
    <t>31 Knots of Justice</t>
  </si>
  <si>
    <t>Increase fleet movement by 1 when Vanguard consists of 3 DDs</t>
  </si>
  <si>
    <t>(Commander) 15% chance to launch pre-emptive torpedo strike on mob fleets if there's at least 1 DD in the Vanguard</t>
  </si>
  <si>
    <t>(Commander) Can swap and take over an adjacent allied fleet's combat if there's at least 1 DD in the Vanguard</t>
  </si>
  <si>
    <t>Vanguard (3xDD)
Utility/CC
Commander</t>
  </si>
  <si>
    <t>Snipurr</t>
  </si>
  <si>
    <t>Greatly increase BB/BC/BBV Accuracy when fighting a DD or BB mob fleet based on Tactics stat</t>
  </si>
  <si>
    <t>Increase Flagship Damage if it's a BB/BC/BBV based on Directives stat</t>
  </si>
  <si>
    <t>Increase BB/BC/BBV AA based on Directives stat</t>
  </si>
  <si>
    <t>Main Fleet (BB Flagship)</t>
  </si>
  <si>
    <t>Churchilll's Blessing</t>
  </si>
  <si>
    <t>(Staff) Increase BB/BC/BBV Firepower and AA based on Directives stat</t>
  </si>
  <si>
    <t>(Staff) Increase all ships Firepower when engaged adjacent to impassable terrain, based on Tactics stat</t>
  </si>
  <si>
    <t>Increase damage dealt to BB/BC/BBV based on Tactics stat</t>
  </si>
  <si>
    <t>Main Fleet (BB)
Staff</t>
  </si>
  <si>
    <t>Rule Britannya</t>
  </si>
  <si>
    <t>(Commander) Increase BB/BC/BBV Firepower and AA based on Directives stat</t>
  </si>
  <si>
    <t>(Commander) Decrease damage taken by Vanguard for 30s when fleet has more than 4 Royal Navy ships, based on Logistics stat</t>
  </si>
  <si>
    <t>(Commander) Greatly increase Evasion of Royal Navy ships based on Logistics stat</t>
  </si>
  <si>
    <t>Main Fleet (BB)
Royal Navy
Commander</t>
  </si>
  <si>
    <t>Paws of Fury</t>
  </si>
  <si>
    <t>(Staff) Slightly increase CV/CVL Aviation and Reload based on Directives stat</t>
  </si>
  <si>
    <t>Decrease ambush chance based on Logistics stat</t>
  </si>
  <si>
    <t>When Main fleet has only 1 CV/CVL, first airstrike loads 8% faster and launches extra torp bombers</t>
  </si>
  <si>
    <t>Main Fleet (1xCV)
Staff</t>
  </si>
  <si>
    <t>Ironbottom Tail Swipe</t>
  </si>
  <si>
    <t>(Commander) Increase CA/CL/CB Firepower and Torpedo based on Tactics stat</t>
  </si>
  <si>
    <t>(Commander) Decrease damage taken by Flagship if a BB mob fleet is within 2 tiles, based on Directives stat</t>
  </si>
  <si>
    <t>(Commander) Greatly increase CA/CL/CB Accuracy and Evasion for 30s when fighting a BB mob fleet, based on Tactics stat</t>
  </si>
  <si>
    <t>Vanguard (CA/CL)
BB Hunter
Commander</t>
  </si>
  <si>
    <t>Slightly increase SS Torpedo based on Directive and Logistics stats</t>
  </si>
  <si>
    <t>Increase SS Hunting range by 1</t>
  </si>
  <si>
    <t>Increase pre-emptive torpedo strike based on Tactics stat</t>
  </si>
  <si>
    <t>SS Fleet</t>
  </si>
  <si>
    <t>Unsinkable Oscar</t>
  </si>
  <si>
    <t>(Staff) Increase BB/BC/BBV Firepower and Accuracy based on Directives stat</t>
  </si>
  <si>
    <t>(Staff) 15% for a pre-emptive strike against mob fleets when there's at least 1 BB/BC/BBV in the fleet</t>
  </si>
  <si>
    <t>(Staff) Decrease damage taken by BB/BC/BBVs in fleet when fighting a BB mob fleet based on Logistics stat</t>
  </si>
  <si>
    <t>Bite Their Fingers</t>
  </si>
  <si>
    <t>Lead Vanguard ship (If it's a DD) will fire a Meowfficer barrage when close to an enemy</t>
  </si>
  <si>
    <t>Improves Meowfficer barrage</t>
  </si>
  <si>
    <t>Vanguard (DD Leader)
Commander</t>
  </si>
  <si>
    <t>Nine Lives</t>
  </si>
  <si>
    <t>(Staff) Slightly increase CV/CVL Reload based on Tactics stat</t>
  </si>
  <si>
    <t>Decrease airstrike chance based on Tactics stat</t>
  </si>
  <si>
    <t>(Staff) Increase CV/CVL Aviation based on Directives stat</t>
  </si>
  <si>
    <t>Main Fleet (CV)
Staff</t>
  </si>
  <si>
    <t>Commerce Purrsuiter</t>
  </si>
  <si>
    <t>(Staff) Slightly increase CA/CL Evasion based on Logistics stat</t>
  </si>
  <si>
    <t>(Staff) Greatly increase CA/CL Firepower when fighting transport fleets, based on Tactics stat</t>
  </si>
  <si>
    <t>(Staff) Increase CA/CL Torpedo based on Directives stat</t>
  </si>
  <si>
    <t>Vanguard (CA/CL)
Convoy Hunter
Staff</t>
  </si>
  <si>
    <t>Purrceptive</t>
  </si>
  <si>
    <t>(Staff) Increase DD Accuracy when engaged with DD mob fleet, based on Tactics stat</t>
  </si>
  <si>
    <t>(Staff) Slightly increase DD Evasion based on Logistics stat</t>
  </si>
  <si>
    <t>Increase fleet movement by 1 when within 3 tiles of a DD mob fleet</t>
  </si>
  <si>
    <t>Vanguard (DD)
DD Hunter
Staff</t>
  </si>
  <si>
    <t>Sophissticated</t>
  </si>
  <si>
    <t>(Staff) Slightly increase BB/BC/BBV Reload based on Directives stat</t>
  </si>
  <si>
    <t>(Staff) Slightly increase Royal Navy ships Firepower based on Tactics stat</t>
  </si>
  <si>
    <t>Main Fleet (BB)
Royal Navy
Staff</t>
  </si>
  <si>
    <t>Tiddles' Legacy</t>
  </si>
  <si>
    <t>(Staff) Slightly increase CV/CVL Accuracy based on Tactics stat</t>
  </si>
  <si>
    <t>Increase fleet movement by 1 when within 2 tiles of a DD mob fleet</t>
  </si>
  <si>
    <t>Main Fleet (CV)
DD Hunter
Staff</t>
  </si>
  <si>
    <t>Belly Flop Bombardment</t>
  </si>
  <si>
    <t>15% chance to launch an pre-emptive airstrike if fleet has at least 1 CV/CVL, damage based on Tactics stat and fleet levels</t>
  </si>
  <si>
    <t>Feral Instincts</t>
  </si>
  <si>
    <t>(Staff) Slightly increase DD Evasion based on Directives stat</t>
  </si>
  <si>
    <t>(Staff) Increase DD Torpedo based on Logistics stat</t>
  </si>
  <si>
    <t>(Staff) Greatly increase DD Torp if Vanguard consists of only 1 DD (By itself), based on Directives stat</t>
  </si>
  <si>
    <t>Vanguard (1xDD)
Staff</t>
  </si>
  <si>
    <t>Paladin of the Sea</t>
  </si>
  <si>
    <t>(Staff) Slightly increase BB/BC/BBV Evasion based on Directives stat</t>
  </si>
  <si>
    <t>(Staff) Increase BB/BC/BBV Accuracy based on Tactics stat</t>
  </si>
  <si>
    <t>Decrease Flagship damage taken when engaged with a BB mob fleet, based on Tactics stat</t>
  </si>
  <si>
    <t>Main Fleet (BB)
BB Hunter
Staff</t>
  </si>
  <si>
    <t>Champion of the Sea</t>
  </si>
  <si>
    <t>(Staff) Slightly increase SS Torpedo based on Directives stat</t>
  </si>
  <si>
    <t>(Staff) Increase SS Accruacy based on Directives stat</t>
  </si>
  <si>
    <t>Increase SS hunting range by 1</t>
  </si>
  <si>
    <t>SS Fleet
Staff</t>
  </si>
  <si>
    <t>Sentinel of the Sea</t>
  </si>
  <si>
    <t>(Staff) Increase SS Evasion based on Directives stat</t>
  </si>
  <si>
    <t>(Staff) Increase SS Accruacy based on Directives stat if called by a fleet with a BB/BC/BBV flagship</t>
  </si>
  <si>
    <t>Carrier Boost</t>
  </si>
  <si>
    <t>(Staff) Slightly increase CV/CVL Reload based on Logistics stat</t>
  </si>
  <si>
    <t>(Staff) Slightly increase CV/CVL Aviation based on Directives stat</t>
  </si>
  <si>
    <t>Recon Boost</t>
  </si>
  <si>
    <t>(Staff) Slightly increase CA/CL Accuracy based on Tactics stat</t>
  </si>
  <si>
    <t>(Staff) Slightly increase CA/CL Firepower based on Directives stat</t>
  </si>
  <si>
    <t>Battleship Boost</t>
  </si>
  <si>
    <t>(Staff) Slightly increase BB/BC/BBV Reload based on Logistics stat</t>
  </si>
  <si>
    <t>(Staff) Slightly increase BB/BC/BBV Accuracy based on Logistics stat</t>
  </si>
  <si>
    <t>(Staff) Slightly increase BB/BC/BBV Firepower based on Logistics stat</t>
  </si>
  <si>
    <t>Cruiser Tactics</t>
  </si>
  <si>
    <t>(Staff) Slightly increase CA/CL Firepower based on Tactics stat</t>
  </si>
  <si>
    <t>(Staff) Slightly increase CA/CL Evasion based on Tactics stat</t>
  </si>
  <si>
    <t>Cruiser Directives</t>
  </si>
  <si>
    <t>(Staff) Slightly increase CA/CL Torpedo based on Logistics stat</t>
  </si>
  <si>
    <t>(Staff) Slightly increase CA/CL Torpedo based on Directives stat</t>
  </si>
  <si>
    <t>Battleship Support</t>
  </si>
  <si>
    <t>(Staff) Slightly increase BB/BC/BBV AA based on Directives stat</t>
  </si>
  <si>
    <t>(Staff) Slightly increase BB/BC/BBV Firepower based on Tactics stat</t>
  </si>
  <si>
    <t>Cruiser Boost</t>
  </si>
  <si>
    <t>(Staff) Slightly increase CA/CL Firepower based on Logistics stat</t>
  </si>
  <si>
    <t>Destroyer Directives</t>
  </si>
  <si>
    <t>(Staff) Slightly increase DD Accuracy based on Tactics stat</t>
  </si>
  <si>
    <t>(Staff) Slightly increase DD Torpedo based on Logistics stat</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</si>
</sst>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000"/>
    <numFmt numFmtId="165" formatCode="m-d"/>
  </numFmts>
  <fonts count="90">
    <font>
      <sz val="10.0"/>
      <color rgb="FF000000"/>
      <name val="Arial"/>
    </font>
    <font>
      <sz val="12.0"/>
      <name val="Arial"/>
    </font>
    <font>
      <sz val="13.0"/>
      <name val="Arial"/>
    </font>
    <font>
      <b/>
      <sz val="12.0"/>
      <name val="Arial"/>
    </font>
    <font/>
    <font>
      <b/>
      <u/>
      <sz val="12.0"/>
      <color rgb="FF0000FF"/>
      <name val="Arial"/>
    </font>
    <font>
      <b/>
      <u/>
      <sz val="12.0"/>
      <color rgb="FF0000FF"/>
      <name val="Arial"/>
    </font>
    <font>
      <b/>
      <sz val="10.0"/>
      <name val="Arial"/>
    </font>
    <font>
      <b/>
      <name val="Arial"/>
    </font>
    <font>
      <b/>
    </font>
    <font>
      <sz val="10.0"/>
      <name val="Arial"/>
    </font>
    <font>
      <u/>
      <sz val="10.0"/>
      <color rgb="FF0000FF"/>
      <name val="Arial"/>
    </font>
    <font>
      <name val="Arial"/>
    </font>
    <font>
      <u/>
      <sz val="10.0"/>
      <color rgb="FF0000FF"/>
      <name val="Arial"/>
    </font>
    <font>
      <u/>
      <color rgb="FF0000FF"/>
      <name val="Arial"/>
    </font>
    <font>
      <u/>
      <color rgb="FF0000FF"/>
    </font>
    <font>
      <u/>
      <color rgb="FF1155CC"/>
      <name val="Arial"/>
    </font>
    <font>
      <u/>
      <color rgb="FF0000FF"/>
    </font>
    <font>
      <u/>
      <color rgb="FF0000FF"/>
      <name val="Arial"/>
    </font>
    <font>
      <u/>
      <color rgb="FF0000FF"/>
      <name val="Arial"/>
    </font>
    <font>
      <u/>
      <color rgb="FF0000FF"/>
      <name val="Arial"/>
    </font>
    <font>
      <u/>
      <color rgb="FF1155CC"/>
      <name val="Arial"/>
    </font>
    <font>
      <u/>
      <color rgb="FF0000FF"/>
      <name val="Arial"/>
    </font>
    <font>
      <u/>
      <color rgb="FF0000FF"/>
      <name val="Arial"/>
    </font>
    <font>
      <u/>
      <color rgb="FF0000FF"/>
      <name val="Arial"/>
    </font>
    <font>
      <u/>
      <color rgb="FF0000FF"/>
      <name val="Arial"/>
    </font>
    <font>
      <u/>
      <color rgb="FF0000FF"/>
      <name val="Arial"/>
    </font>
    <font>
      <u/>
      <color rgb="FF1155CC"/>
      <name val="Arial"/>
    </font>
    <font>
      <u/>
      <color rgb="FF0000FF"/>
      <name val="Arial"/>
    </font>
    <font>
      <u/>
      <color rgb="FF0000FF"/>
      <name val="Arial"/>
    </font>
    <font>
      <u/>
      <color rgb="FF0000FF"/>
      <name val="Arial"/>
    </font>
    <font>
      <u/>
      <sz val="10.0"/>
      <color rgb="FF0000FF"/>
      <name val="Arial"/>
    </font>
    <font>
      <u/>
      <sz val="10.0"/>
      <color rgb="FF0000FF"/>
      <name val="Arial"/>
    </font>
    <font>
      <u/>
      <color rgb="FF0000FF"/>
      <name val="Arial"/>
    </font>
    <font>
      <u/>
      <color rgb="FF0000FF"/>
    </font>
    <font>
      <u/>
      <color rgb="FF1155CC"/>
      <name val="Arial"/>
    </font>
    <font>
      <u/>
      <color rgb="FF0000FF"/>
      <name val="Arial"/>
    </font>
    <font>
      <u/>
      <sz val="10.0"/>
      <color rgb="FF0000FF"/>
      <name val="Arial"/>
    </font>
    <font>
      <u/>
      <sz val="10.0"/>
      <color rgb="FF0000FF"/>
      <name val="Arial"/>
    </font>
    <font>
      <u/>
      <color rgb="FF0000FF"/>
    </font>
    <font>
      <u/>
      <color rgb="FF0000FF"/>
      <name val="Arial"/>
    </font>
    <font>
      <u/>
      <color rgb="FF1155CC"/>
      <name val="Arial"/>
    </font>
    <font>
      <sz val="9.0"/>
      <name val="Arial"/>
    </font>
    <font>
      <u/>
      <color rgb="FF0000FF"/>
      <name val="Arial"/>
    </font>
    <font>
      <u/>
      <color rgb="FF1155CC"/>
      <name val="Arial"/>
    </font>
    <font>
      <u/>
      <color rgb="FF0000FF"/>
      <name val="Arial"/>
    </font>
    <font>
      <u/>
      <color rgb="FF0000FF"/>
      <name val="Arial"/>
    </font>
    <font>
      <u/>
      <sz val="10.0"/>
      <color rgb="FF0000FF"/>
      <name val="Arial"/>
    </font>
    <font>
      <u/>
      <color rgb="FF0000FF"/>
    </font>
    <font>
      <u/>
      <sz val="10.0"/>
      <color rgb="FF0000FF"/>
      <name val="Arial"/>
    </font>
    <font>
      <u/>
      <color rgb="FF0000FF"/>
      <name val="Arial"/>
    </font>
    <font>
      <u/>
      <color rgb="FF0000FF"/>
      <name val="Arial"/>
    </font>
    <font>
      <u/>
      <color rgb="FF0000FF"/>
      <name val="Arial"/>
    </font>
    <font>
      <u/>
      <color rgb="FF0000FF"/>
    </font>
    <font>
      <u/>
      <color rgb="FF0000FF"/>
      <name val="Arial"/>
    </font>
    <font>
      <u/>
      <color rgb="FF1155CC"/>
      <name val="Arial"/>
    </font>
    <font>
      <u/>
      <color rgb="FF0000FF"/>
      <name val="Arial"/>
    </font>
    <font>
      <u/>
      <color rgb="FF0000FF"/>
      <name val="Arial"/>
    </font>
    <font>
      <u/>
      <color rgb="FF0000FF"/>
    </font>
    <font>
      <u/>
      <color rgb="FF0000FF"/>
      <name val="Arial"/>
    </font>
    <font>
      <u/>
      <sz val="10.0"/>
      <color rgb="FF0000FF"/>
      <name val="Arial"/>
    </font>
    <font>
      <b/>
      <sz val="10.0"/>
    </font>
    <font>
      <u/>
      <sz val="12.0"/>
      <color rgb="FF0000FF"/>
    </font>
    <font>
      <sz val="12.0"/>
    </font>
    <font>
      <u/>
      <sz val="12.0"/>
      <color rgb="FF0000FF"/>
    </font>
    <font>
      <u/>
      <sz val="12.0"/>
      <color rgb="FF1155CC"/>
    </font>
    <font>
      <u/>
      <sz val="12.0"/>
      <color rgb="FF1155CC"/>
    </font>
    <font>
      <b/>
      <sz val="12.0"/>
    </font>
    <font>
      <u/>
      <sz val="12.0"/>
      <color rgb="FF0000FF"/>
      <name val="Arial"/>
    </font>
    <font>
      <u/>
      <sz val="12.0"/>
      <color rgb="FF1155CC"/>
      <name val="Arial"/>
    </font>
    <font>
      <u/>
      <sz val="12.0"/>
      <color rgb="FF1155CC"/>
      <name val="Arial"/>
    </font>
    <font>
      <u/>
      <sz val="12.0"/>
      <color rgb="FF0000FF"/>
      <name val="Arial"/>
    </font>
    <font>
      <sz val="12.0"/>
      <color rgb="FF222222"/>
      <name val="Arial"/>
    </font>
    <font>
      <sz val="12.0"/>
      <name val="Sans-serif"/>
    </font>
    <font>
      <b/>
      <sz val="12.0"/>
      <name val="Sans-serif"/>
    </font>
    <font>
      <u/>
      <sz val="12.0"/>
      <color rgb="FF0000FF"/>
      <name val="Arial"/>
    </font>
    <font>
      <u/>
      <sz val="12.0"/>
      <color rgb="FF1155CC"/>
      <name val="Arial"/>
    </font>
    <font>
      <u/>
      <sz val="12.0"/>
      <color rgb="FF0000FF"/>
      <name val="Arial"/>
    </font>
    <font>
      <u/>
      <sz val="12.0"/>
      <color rgb="FF0000FF"/>
      <name val="Arial"/>
    </font>
    <font>
      <u/>
      <sz val="12.0"/>
      <color rgb="FF1155CC"/>
    </font>
    <font>
      <u/>
      <sz val="12.0"/>
      <color rgb="FF0000FF"/>
    </font>
    <font>
      <u/>
      <sz val="12.0"/>
      <color rgb="FF1155CC"/>
      <name val="Arial"/>
    </font>
    <font>
      <u/>
      <sz val="12.0"/>
      <color rgb="FF1155CC"/>
      <name val="Arial"/>
    </font>
    <font>
      <u/>
      <sz val="12.0"/>
      <color rgb="FF0000FF"/>
      <name val="Arial"/>
    </font>
    <font>
      <u/>
      <sz val="12.0"/>
      <color rgb="FF0000FF"/>
      <name val="Arial"/>
    </font>
    <font>
      <u/>
      <sz val="12.0"/>
      <color rgb="FF0000FF"/>
      <name val="Arial"/>
    </font>
    <font>
      <u/>
      <sz val="12.0"/>
      <color rgb="FF1155CC"/>
      <name val="Arial"/>
    </font>
    <font>
      <u/>
      <sz val="12.0"/>
      <color rgb="FF0000FF"/>
    </font>
    <font>
      <b/>
      <u/>
      <sz val="12.0"/>
      <color rgb="FF0000FF"/>
    </font>
    <font>
      <b/>
      <u/>
      <sz val="12.0"/>
      <color rgb="FF0000FF"/>
      <name val="Arial"/>
    </font>
  </fonts>
  <fills count="73">
    <fill>
      <patternFill patternType="none"/>
    </fill>
    <fill>
      <patternFill patternType="lightGray"/>
    </fill>
    <fill>
      <patternFill patternType="solid">
        <fgColor rgb="FFD9D9D9"/>
        <bgColor rgb="FFD9D9D9"/>
      </patternFill>
    </fill>
    <fill>
      <patternFill patternType="solid">
        <fgColor rgb="FFBDBDBD"/>
        <bgColor rgb="FFBDBDBD"/>
      </patternFill>
    </fill>
    <fill>
      <patternFill patternType="solid">
        <fgColor rgb="FFFFFFFF"/>
        <bgColor rgb="FFFFFFFF"/>
      </patternFill>
    </fill>
    <fill>
      <patternFill patternType="solid">
        <fgColor rgb="FFF3F3F3"/>
        <bgColor rgb="FFF3F3F3"/>
      </patternFill>
    </fill>
    <fill>
      <patternFill patternType="solid">
        <fgColor rgb="FFF9CB9C"/>
        <bgColor rgb="FFF9CB9C"/>
      </patternFill>
    </fill>
    <fill>
      <patternFill patternType="solid">
        <fgColor rgb="FFA4C2F4"/>
        <bgColor rgb="FFA4C2F4"/>
      </patternFill>
    </fill>
    <fill>
      <patternFill patternType="solid">
        <fgColor rgb="FFFFD966"/>
        <bgColor rgb="FFFFD966"/>
      </patternFill>
    </fill>
    <fill>
      <patternFill patternType="solid">
        <fgColor rgb="FF6FA8DC"/>
        <bgColor rgb="FF6FA8DC"/>
      </patternFill>
    </fill>
    <fill>
      <patternFill patternType="solid">
        <fgColor rgb="FFE06666"/>
        <bgColor rgb="FFE06666"/>
      </patternFill>
    </fill>
    <fill>
      <patternFill patternType="solid">
        <fgColor rgb="FF3D85C6"/>
        <bgColor rgb="FF3D85C6"/>
      </patternFill>
    </fill>
    <fill>
      <patternFill patternType="solid">
        <fgColor rgb="FF8E7CC3"/>
        <bgColor rgb="FF8E7CC3"/>
      </patternFill>
    </fill>
    <fill>
      <patternFill patternType="solid">
        <fgColor rgb="FF6D9EEB"/>
        <bgColor rgb="FF6D9EEB"/>
      </patternFill>
    </fill>
    <fill>
      <patternFill patternType="solid">
        <fgColor rgb="FFF6B76B"/>
        <bgColor rgb="FFF6B76B"/>
      </patternFill>
    </fill>
    <fill>
      <patternFill patternType="solid">
        <fgColor rgb="FFF8BF6A"/>
        <bgColor rgb="FFF8BF6A"/>
      </patternFill>
    </fill>
    <fill>
      <patternFill patternType="solid">
        <fgColor rgb="FFFCD666"/>
        <bgColor rgb="FFFCD666"/>
      </patternFill>
    </fill>
    <fill>
      <patternFill patternType="solid">
        <fgColor rgb="FF95C57C"/>
        <bgColor rgb="FF95C57C"/>
      </patternFill>
    </fill>
    <fill>
      <patternFill patternType="solid">
        <fgColor rgb="FFE0D16C"/>
        <bgColor rgb="FFE0D16C"/>
      </patternFill>
    </fill>
    <fill>
      <patternFill patternType="solid">
        <fgColor rgb="FFBFCC73"/>
        <bgColor rgb="FFBFCC73"/>
      </patternFill>
    </fill>
    <fill>
      <patternFill patternType="solid">
        <fgColor rgb="FFF5B56B"/>
        <bgColor rgb="FFF5B56B"/>
      </patternFill>
    </fill>
    <fill>
      <patternFill patternType="solid">
        <fgColor rgb="FFF8BC6A"/>
        <bgColor rgb="FFF8BC6A"/>
      </patternFill>
    </fill>
    <fill>
      <patternFill patternType="solid">
        <fgColor rgb="FFCECF70"/>
        <bgColor rgb="FFCECF70"/>
      </patternFill>
    </fill>
    <fill>
      <patternFill patternType="solid">
        <fgColor rgb="FFB5CA76"/>
        <bgColor rgb="FFB5CA76"/>
      </patternFill>
    </fill>
    <fill>
      <patternFill patternType="solid">
        <fgColor rgb="FFCACE71"/>
        <bgColor rgb="FFCACE71"/>
      </patternFill>
    </fill>
    <fill>
      <patternFill patternType="solid">
        <fgColor rgb="FFFFD666"/>
        <bgColor rgb="FFFFD666"/>
      </patternFill>
    </fill>
    <fill>
      <patternFill patternType="solid">
        <fgColor rgb="FFEF9C6F"/>
        <bgColor rgb="FFEF9C6F"/>
      </patternFill>
    </fill>
    <fill>
      <patternFill patternType="solid">
        <fgColor rgb="FFB4A7D6"/>
        <bgColor rgb="FFB4A7D6"/>
      </patternFill>
    </fill>
    <fill>
      <patternFill patternType="solid">
        <fgColor rgb="FFCCCCCC"/>
        <bgColor rgb="FFCCCCCC"/>
      </patternFill>
    </fill>
    <fill>
      <patternFill patternType="solid">
        <fgColor rgb="FFEF9E6F"/>
        <bgColor rgb="FFEF9E6F"/>
      </patternFill>
    </fill>
    <fill>
      <patternFill patternType="solid">
        <fgColor rgb="FFF6B66B"/>
        <bgColor rgb="FFF6B66B"/>
      </patternFill>
    </fill>
    <fill>
      <patternFill patternType="solid">
        <fgColor rgb="FFB9CB75"/>
        <bgColor rgb="FFB9CB75"/>
      </patternFill>
    </fill>
    <fill>
      <patternFill patternType="solid">
        <fgColor rgb="FFF9C169"/>
        <bgColor rgb="FFF9C169"/>
      </patternFill>
    </fill>
    <fill>
      <patternFill patternType="solid">
        <fgColor rgb="FF57BB8A"/>
        <bgColor rgb="FF57BB8A"/>
      </patternFill>
    </fill>
    <fill>
      <patternFill patternType="solid">
        <fgColor rgb="FFF4D568"/>
        <bgColor rgb="FFF4D568"/>
      </patternFill>
    </fill>
    <fill>
      <patternFill patternType="solid">
        <fgColor rgb="FFFED267"/>
        <bgColor rgb="FFFED267"/>
      </patternFill>
    </fill>
    <fill>
      <patternFill patternType="solid">
        <fgColor rgb="FFFCCB68"/>
        <bgColor rgb="FFFCCB68"/>
      </patternFill>
    </fill>
    <fill>
      <patternFill patternType="solid">
        <fgColor rgb="FFE67C73"/>
        <bgColor rgb="FFE67C73"/>
      </patternFill>
    </fill>
    <fill>
      <patternFill patternType="solid">
        <fgColor rgb="FFE67D73"/>
        <bgColor rgb="FFE67D73"/>
      </patternFill>
    </fill>
    <fill>
      <patternFill patternType="solid">
        <fgColor rgb="FFF8BD6A"/>
        <bgColor rgb="FFF8BD6A"/>
      </patternFill>
    </fill>
    <fill>
      <patternFill patternType="solid">
        <fgColor rgb="FFF5B46B"/>
        <bgColor rgb="FFF5B46B"/>
      </patternFill>
    </fill>
    <fill>
      <patternFill patternType="solid">
        <fgColor rgb="FFF0A06E"/>
        <bgColor rgb="FFF0A06E"/>
      </patternFill>
    </fill>
    <fill>
      <patternFill patternType="solid">
        <fgColor rgb="FFF1A66D"/>
        <bgColor rgb="FFF1A66D"/>
      </patternFill>
    </fill>
    <fill>
      <patternFill patternType="solid">
        <fgColor rgb="FFF7BB6A"/>
        <bgColor rgb="FFF7BB6A"/>
      </patternFill>
    </fill>
    <fill>
      <patternFill patternType="solid">
        <fgColor rgb="FFCDCE70"/>
        <bgColor rgb="FFCDCE70"/>
      </patternFill>
    </fill>
    <fill>
      <patternFill patternType="solid">
        <fgColor rgb="FFD2CF6F"/>
        <bgColor rgb="FFD2CF6F"/>
      </patternFill>
    </fill>
    <fill>
      <patternFill patternType="solid">
        <fgColor rgb="FFB8CB75"/>
        <bgColor rgb="FFB8CB75"/>
      </patternFill>
    </fill>
    <fill>
      <patternFill patternType="solid">
        <fgColor rgb="FFDBD16D"/>
        <bgColor rgb="FFDBD16D"/>
      </patternFill>
    </fill>
    <fill>
      <patternFill patternType="solid">
        <fgColor rgb="FFC1CC73"/>
        <bgColor rgb="FFC1CC73"/>
      </patternFill>
    </fill>
    <fill>
      <patternFill patternType="solid">
        <fgColor rgb="FFF1D469"/>
        <bgColor rgb="FFF1D469"/>
      </patternFill>
    </fill>
    <fill>
      <patternFill patternType="solid">
        <fgColor rgb="FFFBD666"/>
        <bgColor rgb="FFFBD666"/>
      </patternFill>
    </fill>
    <fill>
      <patternFill patternType="solid">
        <fgColor rgb="FFDED16D"/>
        <bgColor rgb="FFDED16D"/>
      </patternFill>
    </fill>
    <fill>
      <patternFill patternType="solid">
        <fgColor rgb="FFA7C878"/>
        <bgColor rgb="FFA7C878"/>
      </patternFill>
    </fill>
    <fill>
      <patternFill patternType="solid">
        <fgColor rgb="FFB2CA76"/>
        <bgColor rgb="FFB2CA76"/>
      </patternFill>
    </fill>
    <fill>
      <patternFill patternType="solid">
        <fgColor rgb="FFF7BA6A"/>
        <bgColor rgb="FFF7BA6A"/>
      </patternFill>
    </fill>
    <fill>
      <patternFill patternType="solid">
        <fgColor rgb="FFB4CA76"/>
        <bgColor rgb="FFB4CA76"/>
      </patternFill>
    </fill>
    <fill>
      <patternFill patternType="solid">
        <fgColor rgb="FFD9D06E"/>
        <bgColor rgb="FFD9D06E"/>
      </patternFill>
    </fill>
    <fill>
      <patternFill patternType="solid">
        <fgColor rgb="FFFBCA68"/>
        <bgColor rgb="FFFBCA68"/>
      </patternFill>
    </fill>
    <fill>
      <patternFill patternType="solid">
        <fgColor rgb="FFFED567"/>
        <bgColor rgb="FFFED567"/>
      </patternFill>
    </fill>
    <fill>
      <patternFill patternType="solid">
        <fgColor rgb="FFE1D26C"/>
        <bgColor rgb="FFE1D26C"/>
      </patternFill>
    </fill>
    <fill>
      <patternFill patternType="solid">
        <fgColor rgb="FFE4D26B"/>
        <bgColor rgb="FFE4D26B"/>
      </patternFill>
    </fill>
    <fill>
      <patternFill patternType="solid">
        <fgColor rgb="FFFFE599"/>
        <bgColor rgb="FFFFE599"/>
      </patternFill>
    </fill>
    <fill>
      <patternFill patternType="solid">
        <fgColor rgb="FF000000"/>
        <bgColor rgb="FF000000"/>
      </patternFill>
    </fill>
    <fill>
      <patternFill patternType="solid">
        <fgColor rgb="FF9FC5E8"/>
        <bgColor rgb="FF9FC5E8"/>
      </patternFill>
    </fill>
    <fill>
      <patternFill patternType="solid">
        <fgColor rgb="FFDD7E6B"/>
        <bgColor rgb="FFDD7E6B"/>
      </patternFill>
    </fill>
    <fill>
      <patternFill patternType="solid">
        <fgColor rgb="FF5FBD88"/>
        <bgColor rgb="FF5FBD88"/>
      </patternFill>
    </fill>
    <fill>
      <patternFill patternType="solid">
        <fgColor rgb="FF84C380"/>
        <bgColor rgb="FF84C380"/>
      </patternFill>
    </fill>
    <fill>
      <patternFill patternType="solid">
        <fgColor rgb="FF83C280"/>
        <bgColor rgb="FF83C280"/>
      </patternFill>
    </fill>
    <fill>
      <patternFill patternType="solid">
        <fgColor rgb="FF8AC47F"/>
        <bgColor rgb="FF8AC47F"/>
      </patternFill>
    </fill>
    <fill>
      <patternFill patternType="solid">
        <fgColor rgb="FFFFC8FD"/>
        <bgColor rgb="FFFFC8FD"/>
      </patternFill>
    </fill>
    <fill>
      <patternFill patternType="solid">
        <fgColor rgb="FF7FC281"/>
        <bgColor rgb="FF7FC281"/>
      </patternFill>
    </fill>
    <fill>
      <patternFill patternType="solid">
        <fgColor rgb="FF80C281"/>
        <bgColor rgb="FF80C281"/>
      </patternFill>
    </fill>
    <fill>
      <patternFill patternType="solid">
        <fgColor rgb="FF73C084"/>
        <bgColor rgb="FF73C084"/>
      </patternFill>
    </fill>
  </fills>
  <borders count="10">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border>
    <border>
      <right style="thin">
        <color rgb="FF000000"/>
      </right>
    </border>
    <border>
      <top style="thin">
        <color rgb="FF000000"/>
      </top>
      <bottom style="thin">
        <color rgb="FF000000"/>
      </bottom>
    </border>
    <border>
      <bottom style="thin">
        <color rgb="FF000000"/>
      </bottom>
    </border>
    <border>
      <top style="thin">
        <color rgb="FF000000"/>
      </top>
    </border>
  </borders>
  <cellStyleXfs count="1">
    <xf borderId="0" fillId="0" fontId="0" numFmtId="0" applyAlignment="1" applyFont="1"/>
  </cellStyleXfs>
  <cellXfs count="581">
    <xf borderId="0" fillId="0" fontId="0" numFmtId="0" xfId="0" applyAlignment="1" applyFont="1">
      <alignment readingOrder="0" shrinkToFit="0" vertical="bottom" wrapText="0"/>
    </xf>
    <xf borderId="1" fillId="0" fontId="1" numFmtId="0" xfId="0" applyAlignment="1" applyBorder="1" applyFont="1">
      <alignment readingOrder="0" shrinkToFit="0" vertical="top" wrapText="1"/>
    </xf>
    <xf borderId="0" fillId="2" fontId="1" numFmtId="0" xfId="0" applyAlignment="1" applyFill="1" applyFont="1">
      <alignment readingOrder="0" shrinkToFit="0" vertical="top" wrapText="1"/>
    </xf>
    <xf borderId="2" fillId="0" fontId="1" numFmtId="0" xfId="0" applyAlignment="1" applyBorder="1" applyFont="1">
      <alignment readingOrder="0" shrinkToFit="0" vertical="top" wrapText="1"/>
    </xf>
    <xf borderId="0" fillId="2" fontId="2" numFmtId="0" xfId="0" applyAlignment="1" applyFont="1">
      <alignment readingOrder="0" shrinkToFit="0" vertical="top" wrapText="1"/>
    </xf>
    <xf borderId="2" fillId="0" fontId="3" numFmtId="0" xfId="0" applyAlignment="1" applyBorder="1" applyFont="1">
      <alignment readingOrder="0" shrinkToFit="0" vertical="top" wrapText="1"/>
    </xf>
    <xf borderId="3" fillId="0" fontId="4" numFmtId="0" xfId="0" applyBorder="1" applyFont="1"/>
    <xf borderId="3" fillId="0" fontId="5" numFmtId="0" xfId="0" applyAlignment="1" applyBorder="1" applyFont="1">
      <alignment readingOrder="0" shrinkToFit="0" vertical="top" wrapText="1"/>
    </xf>
    <xf borderId="4" fillId="0" fontId="6" numFmtId="0" xfId="0" applyAlignment="1" applyBorder="1" applyFont="1">
      <alignment readingOrder="0" shrinkToFit="0" vertical="top" wrapText="1"/>
    </xf>
    <xf borderId="4" fillId="0" fontId="4" numFmtId="0" xfId="0" applyBorder="1" applyFont="1"/>
    <xf borderId="1" fillId="3" fontId="7" numFmtId="164" xfId="0" applyAlignment="1" applyBorder="1" applyFill="1" applyFont="1" applyNumberFormat="1">
      <alignment horizontal="center" readingOrder="0" vertical="center"/>
    </xf>
    <xf borderId="1" fillId="3" fontId="7" numFmtId="0" xfId="0" applyAlignment="1" applyBorder="1" applyFont="1">
      <alignment horizontal="center" readingOrder="0"/>
    </xf>
    <xf borderId="1" fillId="3" fontId="7" numFmtId="0" xfId="0" applyAlignment="1" applyBorder="1" applyFont="1">
      <alignment horizontal="center" readingOrder="0" vertical="center"/>
    </xf>
    <xf borderId="1" fillId="3" fontId="8" numFmtId="0" xfId="0" applyAlignment="1" applyBorder="1" applyFont="1">
      <alignment horizontal="center" readingOrder="0" vertical="center"/>
    </xf>
    <xf borderId="1" fillId="3" fontId="9" numFmtId="49" xfId="0" applyAlignment="1" applyBorder="1" applyFont="1" applyNumberFormat="1">
      <alignment horizontal="center" readingOrder="0" vertical="center"/>
    </xf>
    <xf borderId="1" fillId="3" fontId="9" numFmtId="0" xfId="0" applyAlignment="1" applyBorder="1" applyFont="1">
      <alignment horizontal="center" readingOrder="0" vertical="center"/>
    </xf>
    <xf borderId="1" fillId="3" fontId="9" numFmtId="46" xfId="0" applyAlignment="1" applyBorder="1" applyFont="1" applyNumberFormat="1">
      <alignment horizontal="center" readingOrder="0" vertical="center"/>
    </xf>
    <xf borderId="1" fillId="3" fontId="9" numFmtId="0" xfId="0" applyAlignment="1" applyBorder="1" applyFont="1">
      <alignment horizontal="left" readingOrder="0"/>
    </xf>
    <xf borderId="0" fillId="3" fontId="9" numFmtId="0" xfId="0" applyAlignment="1" applyFont="1">
      <alignment horizontal="center"/>
    </xf>
    <xf borderId="3" fillId="4" fontId="10" numFmtId="164" xfId="0" applyAlignment="1" applyBorder="1" applyFill="1" applyFont="1" applyNumberFormat="1">
      <alignment horizontal="center" readingOrder="0" vertical="center"/>
    </xf>
    <xf borderId="3" fillId="4" fontId="10" numFmtId="0" xfId="0" applyAlignment="1" applyBorder="1" applyFont="1">
      <alignment horizontal="center" readingOrder="0"/>
    </xf>
    <xf borderId="3" fillId="4" fontId="11" numFmtId="0" xfId="0" applyAlignment="1" applyBorder="1" applyFont="1">
      <alignment readingOrder="0"/>
    </xf>
    <xf borderId="3" fillId="4" fontId="10" numFmtId="0" xfId="0" applyAlignment="1" applyBorder="1" applyFont="1">
      <alignment horizontal="center" readingOrder="0" vertical="center"/>
    </xf>
    <xf borderId="3" fillId="4" fontId="10" numFmtId="0" xfId="0" applyAlignment="1" applyBorder="1" applyFont="1">
      <alignment horizontal="center" vertical="center"/>
    </xf>
    <xf borderId="3" fillId="4" fontId="12" numFmtId="0" xfId="0" applyAlignment="1" applyBorder="1" applyFont="1">
      <alignment horizontal="center" readingOrder="0" vertical="center"/>
    </xf>
    <xf borderId="3" fillId="4" fontId="4" numFmtId="49" xfId="0" applyAlignment="1" applyBorder="1" applyFont="1" applyNumberFormat="1">
      <alignment horizontal="center" readingOrder="0" vertical="center"/>
    </xf>
    <xf borderId="3" fillId="4" fontId="4" numFmtId="0" xfId="0" applyAlignment="1" applyBorder="1" applyFont="1">
      <alignment horizontal="center" readingOrder="0" vertical="center"/>
    </xf>
    <xf borderId="3" fillId="4" fontId="4" numFmtId="46" xfId="0" applyAlignment="1" applyBorder="1" applyFont="1" applyNumberFormat="1">
      <alignment horizontal="center" readingOrder="0" vertical="center"/>
    </xf>
    <xf borderId="5" fillId="4" fontId="4" numFmtId="0" xfId="0" applyAlignment="1" applyBorder="1" applyFont="1">
      <alignment horizontal="left" readingOrder="0"/>
    </xf>
    <xf borderId="0" fillId="4" fontId="4" numFmtId="0" xfId="0" applyFont="1"/>
    <xf borderId="3" fillId="5" fontId="10" numFmtId="164" xfId="0" applyAlignment="1" applyBorder="1" applyFill="1" applyFont="1" applyNumberFormat="1">
      <alignment horizontal="center" readingOrder="0" vertical="center"/>
    </xf>
    <xf borderId="3" fillId="5" fontId="10" numFmtId="0" xfId="0" applyAlignment="1" applyBorder="1" applyFont="1">
      <alignment horizontal="center" readingOrder="0"/>
    </xf>
    <xf borderId="3" fillId="5" fontId="13" numFmtId="0" xfId="0" applyAlignment="1" applyBorder="1" applyFont="1">
      <alignment readingOrder="0"/>
    </xf>
    <xf borderId="3" fillId="5" fontId="10" numFmtId="0" xfId="0" applyAlignment="1" applyBorder="1" applyFont="1">
      <alignment horizontal="center" readingOrder="0" vertical="center"/>
    </xf>
    <xf borderId="3" fillId="5" fontId="10" numFmtId="0" xfId="0" applyAlignment="1" applyBorder="1" applyFont="1">
      <alignment horizontal="center" vertical="center"/>
    </xf>
    <xf borderId="3" fillId="5" fontId="12" numFmtId="0" xfId="0" applyAlignment="1" applyBorder="1" applyFont="1">
      <alignment horizontal="center" readingOrder="0" vertical="center"/>
    </xf>
    <xf borderId="3" fillId="5" fontId="4" numFmtId="49" xfId="0" applyAlignment="1" applyBorder="1" applyFont="1" applyNumberFormat="1">
      <alignment horizontal="center" readingOrder="0" vertical="center"/>
    </xf>
    <xf borderId="3" fillId="5" fontId="4" numFmtId="0" xfId="0" applyAlignment="1" applyBorder="1" applyFont="1">
      <alignment horizontal="center" readingOrder="0" vertical="center"/>
    </xf>
    <xf borderId="3" fillId="5" fontId="4" numFmtId="46" xfId="0" applyAlignment="1" applyBorder="1" applyFont="1" applyNumberFormat="1">
      <alignment horizontal="center" readingOrder="0" vertical="center"/>
    </xf>
    <xf borderId="5" fillId="5" fontId="4" numFmtId="0" xfId="0" applyAlignment="1" applyBorder="1" applyFont="1">
      <alignment horizontal="left" readingOrder="0"/>
    </xf>
    <xf borderId="0" fillId="5" fontId="4" numFmtId="0" xfId="0" applyFont="1"/>
    <xf borderId="3" fillId="4" fontId="12" numFmtId="164" xfId="0" applyAlignment="1" applyBorder="1" applyFont="1" applyNumberFormat="1">
      <alignment horizontal="center" readingOrder="0" vertical="center"/>
    </xf>
    <xf borderId="3" fillId="4" fontId="12" numFmtId="0" xfId="0" applyAlignment="1" applyBorder="1" applyFont="1">
      <alignment horizontal="center" readingOrder="0" vertical="bottom"/>
    </xf>
    <xf borderId="3" fillId="4" fontId="14" numFmtId="0" xfId="0" applyAlignment="1" applyBorder="1" applyFont="1">
      <alignment readingOrder="0" vertical="bottom"/>
    </xf>
    <xf borderId="3" fillId="4" fontId="12" numFmtId="0" xfId="0" applyAlignment="1" applyBorder="1" applyFont="1">
      <alignment horizontal="center" vertical="center"/>
    </xf>
    <xf borderId="3" fillId="4" fontId="12" numFmtId="49" xfId="0" applyAlignment="1" applyBorder="1" applyFont="1" applyNumberFormat="1">
      <alignment horizontal="center" vertical="center"/>
    </xf>
    <xf borderId="3" fillId="4" fontId="12" numFmtId="46" xfId="0" applyAlignment="1" applyBorder="1" applyFont="1" applyNumberFormat="1">
      <alignment horizontal="center" vertical="center"/>
    </xf>
    <xf borderId="5" fillId="4" fontId="12" numFmtId="0" xfId="0" applyAlignment="1" applyBorder="1" applyFont="1">
      <alignment vertical="bottom"/>
    </xf>
    <xf borderId="0" fillId="4" fontId="12" numFmtId="0" xfId="0" applyAlignment="1" applyFont="1">
      <alignment vertical="bottom"/>
    </xf>
    <xf borderId="3" fillId="5" fontId="4" numFmtId="164" xfId="0" applyAlignment="1" applyBorder="1" applyFont="1" applyNumberFormat="1">
      <alignment horizontal="center" readingOrder="0" vertical="center"/>
    </xf>
    <xf borderId="3" fillId="5" fontId="4" numFmtId="0" xfId="0" applyAlignment="1" applyBorder="1" applyFont="1">
      <alignment horizontal="center" readingOrder="0"/>
    </xf>
    <xf borderId="3" fillId="5" fontId="15" numFmtId="0" xfId="0" applyAlignment="1" applyBorder="1" applyFont="1">
      <alignment readingOrder="0"/>
    </xf>
    <xf borderId="3" fillId="5" fontId="4" numFmtId="46" xfId="0" applyAlignment="1" applyBorder="1" applyFont="1" applyNumberFormat="1">
      <alignment horizontal="center" vertical="center"/>
    </xf>
    <xf borderId="5" fillId="5" fontId="4" numFmtId="0" xfId="0" applyAlignment="1" applyBorder="1" applyFont="1">
      <alignment horizontal="left"/>
    </xf>
    <xf borderId="5" fillId="4" fontId="4" numFmtId="0" xfId="0" applyAlignment="1" applyBorder="1" applyFont="1">
      <alignment horizontal="left"/>
    </xf>
    <xf borderId="5" fillId="5" fontId="4" numFmtId="0" xfId="0" applyAlignment="1" applyBorder="1" applyFont="1">
      <alignment horizontal="center" readingOrder="0" vertical="center"/>
    </xf>
    <xf borderId="6" fillId="5" fontId="4" numFmtId="0" xfId="0" applyBorder="1" applyFont="1"/>
    <xf borderId="3" fillId="5" fontId="4" numFmtId="49" xfId="0" applyAlignment="1" applyBorder="1" applyFont="1" applyNumberFormat="1">
      <alignment horizontal="center" vertical="center"/>
    </xf>
    <xf borderId="3" fillId="4" fontId="4" numFmtId="49" xfId="0" applyAlignment="1" applyBorder="1" applyFont="1" applyNumberFormat="1">
      <alignment horizontal="center" vertical="center"/>
    </xf>
    <xf borderId="5" fillId="4" fontId="4" numFmtId="0" xfId="0" applyAlignment="1" applyBorder="1" applyFont="1">
      <alignment horizontal="center" readingOrder="0" vertical="center"/>
    </xf>
    <xf borderId="6" fillId="4" fontId="4" numFmtId="0" xfId="0" applyBorder="1" applyFont="1"/>
    <xf borderId="0" fillId="5" fontId="4" numFmtId="0" xfId="0" applyAlignment="1" applyFont="1">
      <alignment horizontal="center" readingOrder="0" vertical="center"/>
    </xf>
    <xf borderId="0" fillId="5" fontId="4" numFmtId="46" xfId="0" applyAlignment="1" applyFont="1" applyNumberFormat="1">
      <alignment horizontal="center" readingOrder="0" vertical="center"/>
    </xf>
    <xf borderId="3" fillId="5" fontId="7" numFmtId="0" xfId="0" applyAlignment="1" applyBorder="1" applyFont="1">
      <alignment horizontal="center" readingOrder="0" vertical="center"/>
    </xf>
    <xf borderId="5" fillId="5" fontId="4" numFmtId="49" xfId="0" applyAlignment="1" applyBorder="1" applyFont="1" applyNumberFormat="1">
      <alignment horizontal="center" readingOrder="0" vertical="center"/>
    </xf>
    <xf borderId="3" fillId="4" fontId="4" numFmtId="46" xfId="0" applyAlignment="1" applyBorder="1" applyFont="1" applyNumberFormat="1">
      <alignment horizontal="center" vertical="center"/>
    </xf>
    <xf borderId="3" fillId="4" fontId="12" numFmtId="46" xfId="0" applyAlignment="1" applyBorder="1" applyFont="1" applyNumberFormat="1">
      <alignment horizontal="center" readingOrder="0" vertical="center"/>
    </xf>
    <xf borderId="5" fillId="4" fontId="12" numFmtId="0" xfId="0" applyAlignment="1" applyBorder="1" applyFont="1">
      <alignment readingOrder="0" vertical="bottom"/>
    </xf>
    <xf borderId="3" fillId="5" fontId="12" numFmtId="164" xfId="0" applyAlignment="1" applyBorder="1" applyFont="1" applyNumberFormat="1">
      <alignment horizontal="center" readingOrder="0" vertical="center"/>
    </xf>
    <xf borderId="3" fillId="5" fontId="12" numFmtId="0" xfId="0" applyAlignment="1" applyBorder="1" applyFont="1">
      <alignment horizontal="center" readingOrder="0" vertical="bottom"/>
    </xf>
    <xf borderId="3" fillId="5" fontId="16" numFmtId="0" xfId="0" applyAlignment="1" applyBorder="1" applyFont="1">
      <alignment readingOrder="0" vertical="bottom"/>
    </xf>
    <xf borderId="3" fillId="5" fontId="12" numFmtId="49" xfId="0" applyAlignment="1" applyBorder="1" applyFont="1" applyNumberFormat="1">
      <alignment horizontal="center" vertical="center"/>
    </xf>
    <xf borderId="3" fillId="5" fontId="12" numFmtId="46" xfId="0" applyAlignment="1" applyBorder="1" applyFont="1" applyNumberFormat="1">
      <alignment horizontal="center" readingOrder="0" vertical="center"/>
    </xf>
    <xf borderId="5" fillId="5" fontId="12" numFmtId="0" xfId="0" applyAlignment="1" applyBorder="1" applyFont="1">
      <alignment readingOrder="0" vertical="bottom"/>
    </xf>
    <xf borderId="0" fillId="5" fontId="12" numFmtId="0" xfId="0" applyAlignment="1" applyFont="1">
      <alignment vertical="bottom"/>
    </xf>
    <xf borderId="0" fillId="4" fontId="4" numFmtId="0" xfId="0" applyAlignment="1" applyFont="1">
      <alignment horizontal="center" readingOrder="0" vertical="center"/>
    </xf>
    <xf borderId="0" fillId="4" fontId="4" numFmtId="46" xfId="0" applyAlignment="1" applyFont="1" applyNumberFormat="1">
      <alignment horizontal="center" readingOrder="0" vertical="center"/>
    </xf>
    <xf borderId="3" fillId="4" fontId="4" numFmtId="164" xfId="0" applyAlignment="1" applyBorder="1" applyFont="1" applyNumberFormat="1">
      <alignment horizontal="center" readingOrder="0" vertical="center"/>
    </xf>
    <xf borderId="3" fillId="4" fontId="4" numFmtId="0" xfId="0" applyAlignment="1" applyBorder="1" applyFont="1">
      <alignment horizontal="center" readingOrder="0"/>
    </xf>
    <xf borderId="3" fillId="4" fontId="17" numFmtId="0" xfId="0" applyAlignment="1" applyBorder="1" applyFont="1">
      <alignment readingOrder="0"/>
    </xf>
    <xf borderId="3" fillId="5" fontId="18" numFmtId="0" xfId="0" applyAlignment="1" applyBorder="1" applyFont="1">
      <alignment readingOrder="0" vertical="bottom"/>
    </xf>
    <xf borderId="0" fillId="5" fontId="12" numFmtId="0" xfId="0" applyAlignment="1" applyFont="1">
      <alignment horizontal="center" readingOrder="0" vertical="center"/>
    </xf>
    <xf borderId="0" fillId="5" fontId="12" numFmtId="46" xfId="0" applyAlignment="1" applyFont="1" applyNumberFormat="1">
      <alignment horizontal="center" readingOrder="0" vertical="center"/>
    </xf>
    <xf borderId="0" fillId="5" fontId="12" numFmtId="46" xfId="0" applyAlignment="1" applyFont="1" applyNumberFormat="1">
      <alignment horizontal="center" vertical="center"/>
    </xf>
    <xf borderId="5" fillId="4" fontId="12" numFmtId="0" xfId="0" applyAlignment="1" applyBorder="1" applyFont="1">
      <alignment horizontal="center" readingOrder="0" vertical="center"/>
    </xf>
    <xf borderId="3" fillId="4" fontId="12" numFmtId="164" xfId="0" applyAlignment="1" applyBorder="1" applyFont="1" applyNumberFormat="1">
      <alignment horizontal="center" readingOrder="0" vertical="center"/>
    </xf>
    <xf borderId="3" fillId="4" fontId="12" numFmtId="0" xfId="0" applyAlignment="1" applyBorder="1" applyFont="1">
      <alignment horizontal="center" vertical="bottom"/>
    </xf>
    <xf borderId="3" fillId="4" fontId="19" numFmtId="0" xfId="0" applyAlignment="1" applyBorder="1" applyFont="1">
      <alignment vertical="bottom"/>
    </xf>
    <xf borderId="3" fillId="4" fontId="12" numFmtId="0" xfId="0" applyAlignment="1" applyBorder="1" applyFont="1">
      <alignment horizontal="center" readingOrder="0" vertical="center"/>
    </xf>
    <xf borderId="3" fillId="5" fontId="12" numFmtId="164" xfId="0" applyAlignment="1" applyBorder="1" applyFont="1" applyNumberFormat="1">
      <alignment horizontal="center" readingOrder="0" vertical="center"/>
    </xf>
    <xf borderId="3" fillId="5" fontId="12" numFmtId="0" xfId="0" applyAlignment="1" applyBorder="1" applyFont="1">
      <alignment horizontal="center" vertical="bottom"/>
    </xf>
    <xf borderId="3" fillId="5" fontId="20" numFmtId="0" xfId="0" applyAlignment="1" applyBorder="1" applyFont="1">
      <alignment vertical="bottom"/>
    </xf>
    <xf borderId="3" fillId="5" fontId="12" numFmtId="0" xfId="0" applyAlignment="1" applyBorder="1" applyFont="1">
      <alignment horizontal="center" readingOrder="0" vertical="center"/>
    </xf>
    <xf borderId="3" fillId="5" fontId="12" numFmtId="0" xfId="0" applyAlignment="1" applyBorder="1" applyFont="1">
      <alignment horizontal="center" vertical="center"/>
    </xf>
    <xf borderId="5" fillId="5" fontId="12" numFmtId="0" xfId="0" applyAlignment="1" applyBorder="1" applyFont="1">
      <alignment horizontal="center" readingOrder="0" vertical="center"/>
    </xf>
    <xf borderId="5" fillId="5" fontId="12" numFmtId="0" xfId="0" applyAlignment="1" applyBorder="1" applyFont="1">
      <alignment vertical="bottom"/>
    </xf>
    <xf borderId="5" fillId="5" fontId="12" numFmtId="49" xfId="0" applyAlignment="1" applyBorder="1" applyFont="1" applyNumberFormat="1">
      <alignment horizontal="center" readingOrder="0" vertical="center"/>
    </xf>
    <xf borderId="3" fillId="5" fontId="12" numFmtId="46" xfId="0" applyAlignment="1" applyBorder="1" applyFont="1" applyNumberFormat="1">
      <alignment horizontal="center" vertical="center"/>
    </xf>
    <xf borderId="0" fillId="4" fontId="4" numFmtId="46" xfId="0" applyAlignment="1" applyFont="1" applyNumberFormat="1">
      <alignment horizontal="center" vertical="center"/>
    </xf>
    <xf borderId="3" fillId="4" fontId="21" numFmtId="0" xfId="0" applyAlignment="1" applyBorder="1" applyFont="1">
      <alignment readingOrder="0" vertical="bottom"/>
    </xf>
    <xf borderId="5" fillId="4" fontId="12" numFmtId="49" xfId="0" applyAlignment="1" applyBorder="1" applyFont="1" applyNumberFormat="1">
      <alignment horizontal="center" readingOrder="0" vertical="center"/>
    </xf>
    <xf borderId="5" fillId="4" fontId="4" numFmtId="49" xfId="0" applyAlignment="1" applyBorder="1" applyFont="1" applyNumberFormat="1">
      <alignment horizontal="center" readingOrder="0" vertical="center"/>
    </xf>
    <xf borderId="0" fillId="5" fontId="4" numFmtId="46" xfId="0" applyAlignment="1" applyFont="1" applyNumberFormat="1">
      <alignment horizontal="center" vertical="center"/>
    </xf>
    <xf borderId="0" fillId="4" fontId="12" numFmtId="0" xfId="0" applyAlignment="1" applyFont="1">
      <alignment horizontal="center" readingOrder="0" vertical="center"/>
    </xf>
    <xf borderId="0" fillId="4" fontId="12" numFmtId="46" xfId="0" applyAlignment="1" applyFont="1" applyNumberFormat="1">
      <alignment horizontal="center" readingOrder="0" vertical="center"/>
    </xf>
    <xf borderId="3" fillId="5" fontId="8" numFmtId="0" xfId="0" applyAlignment="1" applyBorder="1" applyFont="1">
      <alignment horizontal="center" readingOrder="0" vertical="center"/>
    </xf>
    <xf borderId="3" fillId="5" fontId="12" numFmtId="164" xfId="0" applyAlignment="1" applyBorder="1" applyFont="1" applyNumberFormat="1">
      <alignment horizontal="center" readingOrder="0"/>
    </xf>
    <xf borderId="3" fillId="5" fontId="22" numFmtId="0" xfId="0" applyAlignment="1" applyBorder="1" applyFont="1">
      <alignment readingOrder="0" vertical="bottom"/>
    </xf>
    <xf borderId="3" fillId="5" fontId="12" numFmtId="0" xfId="0" applyAlignment="1" applyBorder="1" applyFont="1">
      <alignment horizontal="center" readingOrder="0"/>
    </xf>
    <xf borderId="3" fillId="5" fontId="12" numFmtId="0" xfId="0" applyAlignment="1" applyBorder="1" applyFont="1">
      <alignment horizontal="center"/>
    </xf>
    <xf borderId="5" fillId="5" fontId="12" numFmtId="0" xfId="0" applyAlignment="1" applyBorder="1" applyFont="1">
      <alignment horizontal="center" readingOrder="0"/>
    </xf>
    <xf borderId="3" fillId="5" fontId="12" numFmtId="164" xfId="0" applyAlignment="1" applyBorder="1" applyFont="1" applyNumberFormat="1">
      <alignment horizontal="center" readingOrder="0"/>
    </xf>
    <xf borderId="3" fillId="6" fontId="12" numFmtId="0" xfId="0" applyAlignment="1" applyBorder="1" applyFill="1" applyFont="1">
      <alignment horizontal="center" vertical="bottom"/>
    </xf>
    <xf borderId="3" fillId="5" fontId="23" numFmtId="0" xfId="0" applyAlignment="1" applyBorder="1" applyFont="1">
      <alignment vertical="bottom"/>
    </xf>
    <xf borderId="3" fillId="7" fontId="12" numFmtId="0" xfId="0" applyAlignment="1" applyBorder="1" applyFill="1" applyFont="1">
      <alignment horizontal="center" readingOrder="0"/>
    </xf>
    <xf borderId="3" fillId="4" fontId="12" numFmtId="164" xfId="0" applyAlignment="1" applyBorder="1" applyFont="1" applyNumberFormat="1">
      <alignment horizontal="center" readingOrder="0"/>
    </xf>
    <xf borderId="3" fillId="4" fontId="24" numFmtId="0" xfId="0" applyAlignment="1" applyBorder="1" applyFont="1">
      <alignment vertical="bottom"/>
    </xf>
    <xf borderId="3" fillId="4" fontId="12" numFmtId="0" xfId="0" applyAlignment="1" applyBorder="1" applyFont="1">
      <alignment horizontal="center" readingOrder="0"/>
    </xf>
    <xf borderId="3" fillId="4" fontId="12" numFmtId="0" xfId="0" applyAlignment="1" applyBorder="1" applyFont="1">
      <alignment horizontal="center"/>
    </xf>
    <xf borderId="6" fillId="4" fontId="25" numFmtId="0" xfId="0" applyAlignment="1" applyBorder="1" applyFont="1">
      <alignment readingOrder="0" vertical="bottom"/>
    </xf>
    <xf borderId="0" fillId="4" fontId="12" numFmtId="46" xfId="0" applyAlignment="1" applyFont="1" applyNumberFormat="1">
      <alignment horizontal="center" vertical="center"/>
    </xf>
    <xf borderId="6" fillId="5" fontId="26" numFmtId="0" xfId="0" applyAlignment="1" applyBorder="1" applyFont="1">
      <alignment readingOrder="0" vertical="bottom"/>
    </xf>
    <xf borderId="3" fillId="5" fontId="27" numFmtId="0" xfId="0" applyAlignment="1" applyBorder="1" applyFont="1">
      <alignment horizontal="left" readingOrder="0" vertical="center"/>
    </xf>
    <xf borderId="3" fillId="4" fontId="28" numFmtId="0" xfId="0" applyAlignment="1" applyBorder="1" applyFont="1">
      <alignment horizontal="left" readingOrder="0" vertical="center"/>
    </xf>
    <xf borderId="3" fillId="5" fontId="29" numFmtId="0" xfId="0" applyAlignment="1" applyBorder="1" applyFont="1">
      <alignment horizontal="left" readingOrder="0" vertical="bottom"/>
    </xf>
    <xf borderId="0" fillId="5" fontId="30" numFmtId="0" xfId="0" applyAlignment="1" applyFont="1">
      <alignment readingOrder="0" vertical="bottom"/>
    </xf>
    <xf borderId="3" fillId="4" fontId="31" numFmtId="0" xfId="0" applyAlignment="1" applyBorder="1" applyFont="1">
      <alignment horizontal="left" readingOrder="0"/>
    </xf>
    <xf borderId="3" fillId="4" fontId="12" numFmtId="49" xfId="0" applyAlignment="1" applyBorder="1" applyFont="1" applyNumberFormat="1">
      <alignment horizontal="center" readingOrder="0" vertical="center"/>
    </xf>
    <xf borderId="3" fillId="5" fontId="12" numFmtId="164" xfId="0" applyAlignment="1" applyBorder="1" applyFont="1" applyNumberFormat="1">
      <alignment horizontal="center" vertical="center"/>
    </xf>
    <xf borderId="3" fillId="5" fontId="12" numFmtId="0" xfId="0" applyAlignment="1" applyBorder="1" applyFont="1">
      <alignment horizontal="center" vertical="bottom"/>
    </xf>
    <xf borderId="3" fillId="5" fontId="12" numFmtId="0" xfId="0" applyAlignment="1" applyBorder="1" applyFont="1">
      <alignment vertical="bottom"/>
    </xf>
    <xf borderId="3" fillId="5" fontId="12" numFmtId="0" xfId="0" applyAlignment="1" applyBorder="1" applyFont="1">
      <alignment horizontal="center" vertical="center"/>
    </xf>
    <xf borderId="3" fillId="4" fontId="12" numFmtId="164" xfId="0" applyAlignment="1" applyBorder="1" applyFont="1" applyNumberFormat="1">
      <alignment horizontal="center" vertical="center"/>
    </xf>
    <xf borderId="3" fillId="4" fontId="12" numFmtId="0" xfId="0" applyAlignment="1" applyBorder="1" applyFont="1">
      <alignment horizontal="center" vertical="bottom"/>
    </xf>
    <xf borderId="3" fillId="4" fontId="12" numFmtId="0" xfId="0" applyAlignment="1" applyBorder="1" applyFont="1">
      <alignment vertical="bottom"/>
    </xf>
    <xf borderId="1" fillId="0" fontId="7" numFmtId="164" xfId="0" applyAlignment="1" applyBorder="1" applyFont="1" applyNumberFormat="1">
      <alignment horizontal="center" readingOrder="0"/>
    </xf>
    <xf borderId="1" fillId="0" fontId="7" numFmtId="0" xfId="0" applyAlignment="1" applyBorder="1" applyFont="1">
      <alignment horizontal="center" readingOrder="0"/>
    </xf>
    <xf borderId="1" fillId="0" fontId="7" numFmtId="0" xfId="0" applyAlignment="1" applyBorder="1" applyFont="1">
      <alignment horizontal="center" readingOrder="0" vertical="center"/>
    </xf>
    <xf borderId="1" fillId="0" fontId="7" numFmtId="0" xfId="0" applyAlignment="1" applyBorder="1" applyFont="1">
      <alignment horizontal="center" readingOrder="0" vertical="center"/>
    </xf>
    <xf borderId="1" fillId="0" fontId="9" numFmtId="0" xfId="0" applyAlignment="1" applyBorder="1" applyFont="1">
      <alignment horizontal="center" readingOrder="0" vertical="center"/>
    </xf>
    <xf borderId="1" fillId="0" fontId="9" numFmtId="0" xfId="0" applyAlignment="1" applyBorder="1" applyFont="1">
      <alignment horizontal="center" readingOrder="0"/>
    </xf>
    <xf borderId="3" fillId="0" fontId="10" numFmtId="164" xfId="0" applyAlignment="1" applyBorder="1" applyFont="1" applyNumberFormat="1">
      <alignment horizontal="center" readingOrder="0"/>
    </xf>
    <xf borderId="3" fillId="0" fontId="10" numFmtId="0" xfId="0" applyAlignment="1" applyBorder="1" applyFont="1">
      <alignment horizontal="center" readingOrder="0"/>
    </xf>
    <xf borderId="3" fillId="0" fontId="32" numFmtId="0" xfId="0" applyAlignment="1" applyBorder="1" applyFont="1">
      <alignment readingOrder="0"/>
    </xf>
    <xf borderId="6" fillId="0" fontId="10" numFmtId="0" xfId="0" applyAlignment="1" applyBorder="1" applyFont="1">
      <alignment horizontal="center" readingOrder="0" vertical="center"/>
    </xf>
    <xf borderId="3" fillId="0" fontId="10" numFmtId="0" xfId="0" applyAlignment="1" applyBorder="1" applyFont="1">
      <alignment horizontal="center" readingOrder="0" vertical="center"/>
    </xf>
    <xf borderId="5" fillId="0" fontId="10" numFmtId="0" xfId="0" applyAlignment="1" applyBorder="1" applyFont="1">
      <alignment horizontal="center" vertical="center"/>
    </xf>
    <xf borderId="3" fillId="0" fontId="4" numFmtId="0" xfId="0" applyAlignment="1" applyBorder="1" applyFont="1">
      <alignment horizontal="center" readingOrder="0" vertical="center"/>
    </xf>
    <xf borderId="3" fillId="8" fontId="4" numFmtId="0" xfId="0" applyAlignment="1" applyBorder="1" applyFill="1" applyFont="1">
      <alignment horizontal="center" readingOrder="0"/>
    </xf>
    <xf borderId="3" fillId="0" fontId="4" numFmtId="0" xfId="0" applyAlignment="1" applyBorder="1" applyFont="1">
      <alignment horizontal="center" readingOrder="0"/>
    </xf>
    <xf borderId="3" fillId="5" fontId="12" numFmtId="164" xfId="0" applyAlignment="1" applyBorder="1" applyFont="1" applyNumberFormat="1">
      <alignment horizontal="center" readingOrder="0" vertical="bottom"/>
    </xf>
    <xf borderId="3" fillId="5" fontId="12" numFmtId="0" xfId="0" applyAlignment="1" applyBorder="1" applyFont="1">
      <alignment horizontal="center" readingOrder="0" vertical="bottom"/>
    </xf>
    <xf borderId="3" fillId="4" fontId="33" numFmtId="0" xfId="0" applyAlignment="1" applyBorder="1" applyFont="1">
      <alignment readingOrder="0" vertical="bottom"/>
    </xf>
    <xf borderId="3" fillId="5" fontId="12" numFmtId="0" xfId="0" applyAlignment="1" applyBorder="1" applyFont="1">
      <alignment horizontal="center" readingOrder="0" vertical="center"/>
    </xf>
    <xf borderId="3" fillId="5" fontId="12" numFmtId="0" xfId="0" applyAlignment="1" applyBorder="1" applyFont="1">
      <alignment horizontal="center" readingOrder="0" vertical="center"/>
    </xf>
    <xf borderId="3" fillId="5" fontId="12" numFmtId="0" xfId="0" applyAlignment="1" applyBorder="1" applyFont="1">
      <alignment horizontal="center" vertical="center"/>
    </xf>
    <xf borderId="3" fillId="0" fontId="4" numFmtId="164" xfId="0" applyAlignment="1" applyBorder="1" applyFont="1" applyNumberFormat="1">
      <alignment horizontal="center" readingOrder="0"/>
    </xf>
    <xf borderId="3" fillId="0" fontId="34" numFmtId="0" xfId="0" applyAlignment="1" applyBorder="1" applyFont="1">
      <alignment readingOrder="0"/>
    </xf>
    <xf borderId="3" fillId="0" fontId="10" numFmtId="0" xfId="0" applyAlignment="1" applyBorder="1" applyFont="1">
      <alignment horizontal="center" readingOrder="0" vertical="center"/>
    </xf>
    <xf borderId="6" fillId="0" fontId="4" numFmtId="0" xfId="0" applyAlignment="1" applyBorder="1" applyFont="1">
      <alignment horizontal="center" readingOrder="0"/>
    </xf>
    <xf borderId="6" fillId="0" fontId="4" numFmtId="0" xfId="0" applyAlignment="1" applyBorder="1" applyFont="1">
      <alignment horizontal="center" readingOrder="0" vertical="center"/>
    </xf>
    <xf borderId="3" fillId="9" fontId="4" numFmtId="0" xfId="0" applyAlignment="1" applyBorder="1" applyFill="1" applyFont="1">
      <alignment horizontal="center" readingOrder="0"/>
    </xf>
    <xf borderId="3" fillId="0" fontId="4" numFmtId="0" xfId="0" applyAlignment="1" applyBorder="1" applyFont="1">
      <alignment horizontal="center" readingOrder="0" vertical="center"/>
    </xf>
    <xf borderId="3" fillId="0" fontId="4" numFmtId="0" xfId="0" applyAlignment="1" applyBorder="1" applyFont="1">
      <alignment horizontal="center" readingOrder="0"/>
    </xf>
    <xf borderId="3" fillId="10" fontId="4" numFmtId="0" xfId="0" applyAlignment="1" applyBorder="1" applyFill="1" applyFont="1">
      <alignment horizontal="center" readingOrder="0"/>
    </xf>
    <xf borderId="6" fillId="0" fontId="10" numFmtId="0" xfId="0" applyAlignment="1" applyBorder="1" applyFont="1">
      <alignment horizontal="center" readingOrder="0" vertical="center"/>
    </xf>
    <xf borderId="5" fillId="0" fontId="10" numFmtId="0" xfId="0" applyAlignment="1" applyBorder="1" applyFont="1">
      <alignment horizontal="center" readingOrder="0" vertical="center"/>
    </xf>
    <xf borderId="3" fillId="0" fontId="10" numFmtId="0" xfId="0" applyAlignment="1" applyBorder="1" applyFont="1">
      <alignment horizontal="center" vertical="center"/>
    </xf>
    <xf borderId="3" fillId="0" fontId="7" numFmtId="0" xfId="0" applyAlignment="1" applyBorder="1" applyFont="1">
      <alignment horizontal="center" readingOrder="0" vertical="center"/>
    </xf>
    <xf borderId="3" fillId="0" fontId="10" numFmtId="0" xfId="0" applyAlignment="1" applyBorder="1" applyFont="1">
      <alignment horizontal="center" vertical="center"/>
    </xf>
    <xf borderId="3" fillId="4" fontId="12" numFmtId="0" xfId="0" applyAlignment="1" applyBorder="1" applyFont="1">
      <alignment horizontal="center" readingOrder="0" vertical="center"/>
    </xf>
    <xf borderId="3" fillId="4" fontId="35" numFmtId="0" xfId="0" applyAlignment="1" applyBorder="1" applyFont="1">
      <alignment readingOrder="0" vertical="bottom"/>
    </xf>
    <xf borderId="3" fillId="8" fontId="12" numFmtId="0" xfId="0" applyAlignment="1" applyBorder="1" applyFont="1">
      <alignment horizontal="center" readingOrder="0" vertical="center"/>
    </xf>
    <xf borderId="3" fillId="10" fontId="12" numFmtId="0" xfId="0" applyAlignment="1" applyBorder="1" applyFont="1">
      <alignment horizontal="center" readingOrder="0" vertical="center"/>
    </xf>
    <xf borderId="3" fillId="5" fontId="36" numFmtId="0" xfId="0" applyAlignment="1" applyBorder="1" applyFont="1">
      <alignment readingOrder="0" vertical="bottom"/>
    </xf>
    <xf borderId="6" fillId="5" fontId="12" numFmtId="0" xfId="0" applyAlignment="1" applyBorder="1" applyFont="1">
      <alignment horizontal="center" readingOrder="0" vertical="center"/>
    </xf>
    <xf borderId="5" fillId="5" fontId="12" numFmtId="0" xfId="0" applyAlignment="1" applyBorder="1" applyFont="1">
      <alignment horizontal="center" readingOrder="0" vertical="center"/>
    </xf>
    <xf borderId="3" fillId="0" fontId="10" numFmtId="164" xfId="0" applyAlignment="1" applyBorder="1" applyFont="1" applyNumberFormat="1">
      <alignment horizontal="center" readingOrder="0" vertical="center"/>
    </xf>
    <xf borderId="3" fillId="5" fontId="12" numFmtId="0" xfId="0" applyAlignment="1" applyBorder="1" applyFont="1">
      <alignment horizontal="center" readingOrder="0" vertical="bottom"/>
    </xf>
    <xf borderId="3" fillId="10" fontId="4" numFmtId="0" xfId="0" applyAlignment="1" applyBorder="1" applyFont="1">
      <alignment horizontal="center" readingOrder="0" vertical="center"/>
    </xf>
    <xf borderId="3" fillId="5" fontId="8" numFmtId="0" xfId="0" applyAlignment="1" applyBorder="1" applyFont="1">
      <alignment horizontal="center" readingOrder="0" vertical="center"/>
    </xf>
    <xf borderId="3" fillId="9" fontId="12" numFmtId="0" xfId="0" applyAlignment="1" applyBorder="1" applyFont="1">
      <alignment horizontal="center" readingOrder="0" vertical="center"/>
    </xf>
    <xf borderId="3" fillId="4" fontId="12" numFmtId="164" xfId="0" applyAlignment="1" applyBorder="1" applyFont="1" applyNumberFormat="1">
      <alignment horizontal="center" readingOrder="0" vertical="center"/>
    </xf>
    <xf borderId="3" fillId="4" fontId="12" numFmtId="0" xfId="0" applyAlignment="1" applyBorder="1" applyFont="1">
      <alignment horizontal="center" readingOrder="0" vertical="bottom"/>
    </xf>
    <xf borderId="0" fillId="0" fontId="37" numFmtId="0" xfId="0" applyAlignment="1" applyFont="1">
      <alignment readingOrder="0"/>
    </xf>
    <xf borderId="6" fillId="0" fontId="10" numFmtId="0" xfId="0" applyAlignment="1" applyBorder="1" applyFont="1">
      <alignment horizontal="center" readingOrder="0"/>
    </xf>
    <xf borderId="3" fillId="11" fontId="12" numFmtId="0" xfId="0" applyAlignment="1" applyBorder="1" applyFill="1" applyFont="1">
      <alignment horizontal="center" vertical="center"/>
    </xf>
    <xf borderId="6" fillId="0" fontId="38" numFmtId="0" xfId="0" applyAlignment="1" applyBorder="1" applyFont="1">
      <alignment readingOrder="0"/>
    </xf>
    <xf borderId="6" fillId="10" fontId="4" numFmtId="0" xfId="0" applyAlignment="1" applyBorder="1" applyFont="1">
      <alignment horizontal="center" readingOrder="0"/>
    </xf>
    <xf borderId="6" fillId="0" fontId="39" numFmtId="0" xfId="0" applyAlignment="1" applyBorder="1" applyFont="1">
      <alignment readingOrder="0"/>
    </xf>
    <xf borderId="6" fillId="9" fontId="4" numFmtId="0" xfId="0" applyAlignment="1" applyBorder="1" applyFont="1">
      <alignment horizontal="center" readingOrder="0"/>
    </xf>
    <xf borderId="6" fillId="4" fontId="12" numFmtId="0" xfId="0" applyAlignment="1" applyBorder="1" applyFont="1">
      <alignment horizontal="center" readingOrder="0" vertical="center"/>
    </xf>
    <xf borderId="5" fillId="4" fontId="12" numFmtId="0" xfId="0" applyAlignment="1" applyBorder="1" applyFont="1">
      <alignment horizontal="center" readingOrder="0" vertical="center"/>
    </xf>
    <xf borderId="6" fillId="10" fontId="12" numFmtId="0" xfId="0" applyAlignment="1" applyBorder="1" applyFont="1">
      <alignment horizontal="center" readingOrder="0" vertical="center"/>
    </xf>
    <xf borderId="6" fillId="9" fontId="12" numFmtId="0" xfId="0" applyAlignment="1" applyBorder="1" applyFont="1">
      <alignment horizontal="center" readingOrder="0" vertical="center"/>
    </xf>
    <xf borderId="6" fillId="5" fontId="12" numFmtId="0" xfId="0" applyAlignment="1" applyBorder="1" applyFont="1">
      <alignment horizontal="center" readingOrder="0" vertical="center"/>
    </xf>
    <xf borderId="6" fillId="4" fontId="12" numFmtId="0" xfId="0" applyAlignment="1" applyBorder="1" applyFont="1">
      <alignment horizontal="center" readingOrder="0" vertical="bottom"/>
    </xf>
    <xf borderId="6" fillId="4" fontId="40" numFmtId="0" xfId="0" applyAlignment="1" applyBorder="1" applyFont="1">
      <alignment readingOrder="0" vertical="bottom"/>
    </xf>
    <xf borderId="6" fillId="5" fontId="12" numFmtId="0" xfId="0" applyAlignment="1" applyBorder="1" applyFont="1">
      <alignment horizontal="center" readingOrder="0" vertical="bottom"/>
    </xf>
    <xf borderId="6" fillId="9" fontId="4" numFmtId="0" xfId="0" applyAlignment="1" applyBorder="1" applyFont="1">
      <alignment horizontal="center" readingOrder="0" vertical="center"/>
    </xf>
    <xf borderId="6" fillId="5" fontId="12" numFmtId="0" xfId="0" applyAlignment="1" applyBorder="1" applyFont="1">
      <alignment horizontal="center" readingOrder="0" vertical="bottom"/>
    </xf>
    <xf borderId="6" fillId="5" fontId="8" numFmtId="0" xfId="0" applyAlignment="1" applyBorder="1" applyFont="1">
      <alignment horizontal="center" readingOrder="0" vertical="center"/>
    </xf>
    <xf borderId="6" fillId="8" fontId="12" numFmtId="0" xfId="0" applyAlignment="1" applyBorder="1" applyFont="1">
      <alignment horizontal="center" readingOrder="0" vertical="center"/>
    </xf>
    <xf borderId="6" fillId="0" fontId="12" numFmtId="0" xfId="0" applyAlignment="1" applyBorder="1" applyFont="1">
      <alignment horizontal="center" readingOrder="0" vertical="center"/>
    </xf>
    <xf borderId="6" fillId="0" fontId="4" numFmtId="0" xfId="0" applyAlignment="1" applyBorder="1" applyFont="1">
      <alignment horizontal="center" readingOrder="0"/>
    </xf>
    <xf borderId="6" fillId="0" fontId="4" numFmtId="0" xfId="0" applyAlignment="1" applyBorder="1" applyFont="1">
      <alignment horizontal="center" readingOrder="0" vertical="center"/>
    </xf>
    <xf borderId="6" fillId="8" fontId="4" numFmtId="0" xfId="0" applyAlignment="1" applyBorder="1" applyFont="1">
      <alignment horizontal="center" readingOrder="0"/>
    </xf>
    <xf borderId="6" fillId="4" fontId="41" numFmtId="0" xfId="0" applyAlignment="1" applyBorder="1" applyFont="1">
      <alignment readingOrder="0" vertical="bottom"/>
    </xf>
    <xf borderId="6" fillId="8" fontId="42" numFmtId="0" xfId="0" applyAlignment="1" applyBorder="1" applyFont="1">
      <alignment horizontal="center" readingOrder="0" vertical="center"/>
    </xf>
    <xf borderId="6" fillId="10" fontId="4" numFmtId="0" xfId="0" applyAlignment="1" applyBorder="1" applyFont="1">
      <alignment horizontal="center" readingOrder="0" vertical="center"/>
    </xf>
    <xf borderId="3" fillId="5" fontId="12" numFmtId="164" xfId="0" applyAlignment="1" applyBorder="1" applyFont="1" applyNumberFormat="1">
      <alignment horizontal="center" vertical="bottom"/>
    </xf>
    <xf borderId="6" fillId="5" fontId="12" numFmtId="0" xfId="0" applyAlignment="1" applyBorder="1" applyFont="1">
      <alignment horizontal="center" vertical="bottom"/>
    </xf>
    <xf borderId="6" fillId="5" fontId="12" numFmtId="0" xfId="0" applyAlignment="1" applyBorder="1" applyFont="1">
      <alignment vertical="bottom"/>
    </xf>
    <xf borderId="6" fillId="5" fontId="12" numFmtId="0" xfId="0" applyAlignment="1" applyBorder="1" applyFont="1">
      <alignment horizontal="center" vertical="center"/>
    </xf>
    <xf borderId="6" fillId="5" fontId="12" numFmtId="0" xfId="0" applyAlignment="1" applyBorder="1" applyFont="1">
      <alignment horizontal="center" vertical="center"/>
    </xf>
    <xf borderId="1" fillId="0" fontId="7" numFmtId="164" xfId="0" applyAlignment="1" applyBorder="1" applyFont="1" applyNumberFormat="1">
      <alignment horizontal="center" readingOrder="0"/>
    </xf>
    <xf borderId="3" fillId="5" fontId="12" numFmtId="0" xfId="0" applyAlignment="1" applyBorder="1" applyFont="1">
      <alignment horizontal="center"/>
    </xf>
    <xf borderId="3" fillId="4" fontId="12" numFmtId="0" xfId="0" applyAlignment="1" applyBorder="1" applyFont="1">
      <alignment horizontal="center"/>
    </xf>
    <xf borderId="3" fillId="4" fontId="12" numFmtId="0" xfId="0" applyAlignment="1" applyBorder="1" applyFont="1">
      <alignment horizontal="center" readingOrder="0"/>
    </xf>
    <xf borderId="0" fillId="10" fontId="4" numFmtId="0" xfId="0" applyAlignment="1" applyFont="1">
      <alignment horizontal="center" readingOrder="0"/>
    </xf>
    <xf borderId="3" fillId="4" fontId="12" numFmtId="164" xfId="0" applyAlignment="1" applyBorder="1" applyFont="1" applyNumberFormat="1">
      <alignment horizontal="center" readingOrder="0" vertical="bottom"/>
    </xf>
    <xf borderId="3" fillId="4" fontId="12" numFmtId="0" xfId="0" applyAlignment="1" applyBorder="1" applyFont="1">
      <alignment horizontal="center" readingOrder="0" vertical="bottom"/>
    </xf>
    <xf borderId="6" fillId="4" fontId="12" numFmtId="0" xfId="0" applyAlignment="1" applyBorder="1" applyFont="1">
      <alignment horizontal="center" readingOrder="0" vertical="bottom"/>
    </xf>
    <xf borderId="5" fillId="4" fontId="12" numFmtId="0" xfId="0" applyAlignment="1" applyBorder="1" applyFont="1">
      <alignment horizontal="center" readingOrder="0" vertical="bottom"/>
    </xf>
    <xf borderId="3" fillId="4" fontId="12" numFmtId="0" xfId="0" applyAlignment="1" applyBorder="1" applyFont="1">
      <alignment horizontal="center" readingOrder="0"/>
    </xf>
    <xf borderId="3" fillId="9" fontId="12" numFmtId="0" xfId="0" applyAlignment="1" applyBorder="1" applyFont="1">
      <alignment horizontal="center" readingOrder="0" vertical="bottom"/>
    </xf>
    <xf borderId="3" fillId="10" fontId="12" numFmtId="0" xfId="0" applyAlignment="1" applyBorder="1" applyFont="1">
      <alignment horizontal="center" readingOrder="0" vertical="bottom"/>
    </xf>
    <xf borderId="5" fillId="0" fontId="10" numFmtId="0" xfId="0" applyAlignment="1" applyBorder="1" applyFont="1">
      <alignment horizontal="center" readingOrder="0" vertical="center"/>
    </xf>
    <xf borderId="3" fillId="5" fontId="12" numFmtId="0" xfId="0" applyAlignment="1" applyBorder="1" applyFont="1">
      <alignment horizontal="center" readingOrder="0"/>
    </xf>
    <xf borderId="3" fillId="8" fontId="12" numFmtId="0" xfId="0" applyAlignment="1" applyBorder="1" applyFont="1">
      <alignment horizontal="center" readingOrder="0" vertical="bottom"/>
    </xf>
    <xf borderId="0" fillId="0" fontId="4" numFmtId="0" xfId="0" applyAlignment="1" applyFont="1">
      <alignment horizontal="center" readingOrder="0"/>
    </xf>
    <xf borderId="5" fillId="0" fontId="7" numFmtId="0" xfId="0" applyAlignment="1" applyBorder="1" applyFont="1">
      <alignment horizontal="center" readingOrder="0" vertical="center"/>
    </xf>
    <xf borderId="3" fillId="4" fontId="12" numFmtId="164" xfId="0" applyAlignment="1" applyBorder="1" applyFont="1" applyNumberFormat="1">
      <alignment horizontal="center" readingOrder="0"/>
    </xf>
    <xf borderId="3" fillId="6" fontId="12" numFmtId="0" xfId="0" applyAlignment="1" applyBorder="1" applyFont="1">
      <alignment horizontal="center" vertical="bottom"/>
    </xf>
    <xf borderId="3" fillId="4" fontId="43" numFmtId="0" xfId="0" applyAlignment="1" applyBorder="1" applyFont="1">
      <alignment readingOrder="0" vertical="bottom"/>
    </xf>
    <xf borderId="3" fillId="12" fontId="12" numFmtId="0" xfId="0" applyAlignment="1" applyBorder="1" applyFill="1" applyFont="1">
      <alignment horizontal="center" readingOrder="0"/>
    </xf>
    <xf borderId="6" fillId="4" fontId="12" numFmtId="0" xfId="0" applyAlignment="1" applyBorder="1" applyFont="1">
      <alignment horizontal="center" readingOrder="0"/>
    </xf>
    <xf borderId="3" fillId="4" fontId="12" numFmtId="0" xfId="0" applyAlignment="1" applyBorder="1" applyFont="1">
      <alignment horizontal="center" readingOrder="0"/>
    </xf>
    <xf borderId="3" fillId="4" fontId="12" numFmtId="0" xfId="0" applyAlignment="1" applyBorder="1" applyFont="1">
      <alignment horizontal="center"/>
    </xf>
    <xf borderId="3" fillId="4" fontId="8" numFmtId="0" xfId="0" applyAlignment="1" applyBorder="1" applyFont="1">
      <alignment horizontal="center" readingOrder="0"/>
    </xf>
    <xf borderId="5" fillId="4" fontId="12" numFmtId="0" xfId="0" applyAlignment="1" applyBorder="1" applyFont="1">
      <alignment horizontal="center"/>
    </xf>
    <xf borderId="6" fillId="5" fontId="12" numFmtId="0" xfId="0" applyAlignment="1" applyBorder="1" applyFont="1">
      <alignment horizontal="center"/>
    </xf>
    <xf borderId="6" fillId="5" fontId="12" numFmtId="0" xfId="0" applyAlignment="1" applyBorder="1" applyFont="1">
      <alignment horizontal="center" readingOrder="0"/>
    </xf>
    <xf borderId="6" fillId="13" fontId="12" numFmtId="0" xfId="0" applyAlignment="1" applyBorder="1" applyFill="1" applyFont="1">
      <alignment horizontal="center" readingOrder="0" vertical="center"/>
    </xf>
    <xf borderId="6" fillId="10" fontId="12" numFmtId="0" xfId="0" applyAlignment="1" applyBorder="1" applyFont="1">
      <alignment horizontal="center" readingOrder="0" vertical="bottom"/>
    </xf>
    <xf borderId="3" fillId="4" fontId="44" numFmtId="0" xfId="0" applyAlignment="1" applyBorder="1" applyFont="1">
      <alignment horizontal="left" readingOrder="0" vertical="center"/>
    </xf>
    <xf borderId="3" fillId="4" fontId="45" numFmtId="0" xfId="0" applyAlignment="1" applyBorder="1" applyFont="1">
      <alignment horizontal="left" readingOrder="0" vertical="center"/>
    </xf>
    <xf borderId="6" fillId="4" fontId="12" numFmtId="0" xfId="0" applyAlignment="1" applyBorder="1" applyFont="1">
      <alignment horizontal="center" readingOrder="0"/>
    </xf>
    <xf borderId="6" fillId="4" fontId="12" numFmtId="0" xfId="0" applyAlignment="1" applyBorder="1" applyFont="1">
      <alignment horizontal="center" readingOrder="0" vertical="center"/>
    </xf>
    <xf borderId="6" fillId="4" fontId="12" numFmtId="0" xfId="0" applyAlignment="1" applyBorder="1" applyFont="1">
      <alignment horizontal="center" readingOrder="0"/>
    </xf>
    <xf borderId="6" fillId="4" fontId="8" numFmtId="0" xfId="0" applyAlignment="1" applyBorder="1" applyFont="1">
      <alignment horizontal="center" readingOrder="0" vertical="bottom"/>
    </xf>
    <xf borderId="3" fillId="4" fontId="12" numFmtId="165" xfId="0" applyAlignment="1" applyBorder="1" applyFont="1" applyNumberFormat="1">
      <alignment horizontal="center"/>
    </xf>
    <xf borderId="3" fillId="4" fontId="12" numFmtId="164" xfId="0" applyAlignment="1" applyBorder="1" applyFont="1" applyNumberFormat="1">
      <alignment horizontal="center" vertical="bottom"/>
    </xf>
    <xf borderId="6" fillId="4" fontId="12" numFmtId="0" xfId="0" applyAlignment="1" applyBorder="1" applyFont="1">
      <alignment horizontal="center" vertical="bottom"/>
    </xf>
    <xf borderId="6" fillId="4" fontId="12" numFmtId="0" xfId="0" applyAlignment="1" applyBorder="1" applyFont="1">
      <alignment vertical="bottom"/>
    </xf>
    <xf borderId="6" fillId="4" fontId="12" numFmtId="0" xfId="0" applyAlignment="1" applyBorder="1" applyFont="1">
      <alignment horizontal="center" vertical="bottom"/>
    </xf>
    <xf borderId="6" fillId="4" fontId="12" numFmtId="0" xfId="0" applyAlignment="1" applyBorder="1" applyFont="1">
      <alignment horizontal="center"/>
    </xf>
    <xf borderId="3" fillId="4" fontId="12" numFmtId="0" xfId="0" applyAlignment="1" applyBorder="1" applyFont="1">
      <alignment horizontal="center"/>
    </xf>
    <xf borderId="3" fillId="0" fontId="4" numFmtId="164" xfId="0" applyAlignment="1" applyBorder="1" applyFont="1" applyNumberFormat="1">
      <alignment horizontal="center" readingOrder="0"/>
    </xf>
    <xf borderId="3" fillId="0" fontId="4" numFmtId="0" xfId="0" applyAlignment="1" applyBorder="1" applyFont="1">
      <alignment horizontal="center" readingOrder="0"/>
    </xf>
    <xf borderId="6" fillId="0" fontId="4" numFmtId="0" xfId="0" applyAlignment="1" applyBorder="1" applyFont="1">
      <alignment horizontal="center" readingOrder="0" vertical="center"/>
    </xf>
    <xf borderId="3" fillId="0" fontId="4" numFmtId="0" xfId="0" applyAlignment="1" applyBorder="1" applyFont="1">
      <alignment horizontal="center" readingOrder="0" vertical="center"/>
    </xf>
    <xf borderId="3" fillId="4" fontId="12" numFmtId="0" xfId="0" applyAlignment="1" applyBorder="1" applyFont="1">
      <alignment horizontal="center" readingOrder="0" vertical="center"/>
    </xf>
    <xf borderId="5" fillId="4" fontId="12" numFmtId="0" xfId="0" applyAlignment="1" applyBorder="1" applyFont="1">
      <alignment horizontal="center" readingOrder="0" vertical="center"/>
    </xf>
    <xf borderId="3" fillId="4" fontId="46" numFmtId="0" xfId="0" applyAlignment="1" applyBorder="1" applyFont="1">
      <alignment horizontal="left" readingOrder="0" vertical="bottom"/>
    </xf>
    <xf borderId="6" fillId="0" fontId="4" numFmtId="0" xfId="0" applyAlignment="1" applyBorder="1" applyFont="1">
      <alignment horizontal="center" readingOrder="0"/>
    </xf>
    <xf borderId="6" fillId="0" fontId="7" numFmtId="0" xfId="0" applyAlignment="1" applyBorder="1" applyFont="1">
      <alignment horizontal="center" readingOrder="0" vertical="center"/>
    </xf>
    <xf borderId="3" fillId="0" fontId="9" numFmtId="0" xfId="0" applyAlignment="1" applyBorder="1" applyFont="1">
      <alignment horizontal="center" readingOrder="0" vertical="center"/>
    </xf>
    <xf borderId="3" fillId="0" fontId="4" numFmtId="164" xfId="0" applyAlignment="1" applyBorder="1" applyFont="1" applyNumberFormat="1">
      <alignment horizontal="center"/>
    </xf>
    <xf borderId="3" fillId="0" fontId="4" numFmtId="0" xfId="0" applyAlignment="1" applyBorder="1" applyFont="1">
      <alignment horizontal="center"/>
    </xf>
    <xf borderId="3" fillId="0" fontId="4" numFmtId="0" xfId="0" applyBorder="1" applyFont="1"/>
    <xf borderId="3" fillId="0" fontId="4" numFmtId="0" xfId="0" applyAlignment="1" applyBorder="1" applyFont="1">
      <alignment horizontal="center" vertical="center"/>
    </xf>
    <xf borderId="3" fillId="4" fontId="12" numFmtId="0" xfId="0" applyAlignment="1" applyBorder="1" applyFont="1">
      <alignment horizontal="center" vertical="center"/>
    </xf>
    <xf borderId="6" fillId="4" fontId="12" numFmtId="0" xfId="0" applyAlignment="1" applyBorder="1" applyFont="1">
      <alignment horizontal="center" vertical="center"/>
    </xf>
    <xf borderId="1" fillId="0" fontId="7" numFmtId="0" xfId="0" applyAlignment="1" applyBorder="1" applyFont="1">
      <alignment horizontal="left" readingOrder="0"/>
    </xf>
    <xf borderId="3" fillId="0" fontId="47" numFmtId="0" xfId="0" applyAlignment="1" applyBorder="1" applyFont="1">
      <alignment horizontal="left" readingOrder="0"/>
    </xf>
    <xf borderId="3" fillId="0" fontId="48" numFmtId="0" xfId="0" applyAlignment="1" applyBorder="1" applyFont="1">
      <alignment horizontal="left" readingOrder="0"/>
    </xf>
    <xf borderId="3" fillId="4" fontId="12" numFmtId="164" xfId="0" applyAlignment="1" applyBorder="1" applyFont="1" applyNumberFormat="1">
      <alignment horizontal="center" readingOrder="0" vertical="center"/>
    </xf>
    <xf borderId="6" fillId="0" fontId="49" numFmtId="0" xfId="0" applyAlignment="1" applyBorder="1" applyFont="1">
      <alignment horizontal="left" readingOrder="0"/>
    </xf>
    <xf borderId="3" fillId="4" fontId="50" numFmtId="0" xfId="0" applyAlignment="1" applyBorder="1" applyFont="1">
      <alignment horizontal="left" readingOrder="0" vertical="bottom"/>
    </xf>
    <xf borderId="0" fillId="8" fontId="4" numFmtId="0" xfId="0" applyAlignment="1" applyFont="1">
      <alignment horizontal="center" readingOrder="0"/>
    </xf>
    <xf borderId="3" fillId="5" fontId="51" numFmtId="0" xfId="0" applyAlignment="1" applyBorder="1" applyFont="1">
      <alignment horizontal="left" vertical="bottom"/>
    </xf>
    <xf borderId="3" fillId="4" fontId="52" numFmtId="0" xfId="0" applyAlignment="1" applyBorder="1" applyFont="1">
      <alignment horizontal="left" vertical="bottom"/>
    </xf>
    <xf borderId="6" fillId="0" fontId="53" numFmtId="0" xfId="0" applyAlignment="1" applyBorder="1" applyFont="1">
      <alignment horizontal="left" readingOrder="0"/>
    </xf>
    <xf borderId="6" fillId="4" fontId="54" numFmtId="0" xfId="0" applyAlignment="1" applyBorder="1" applyFont="1">
      <alignment horizontal="left" readingOrder="0" vertical="bottom"/>
    </xf>
    <xf borderId="3" fillId="13" fontId="12" numFmtId="0" xfId="0" applyAlignment="1" applyBorder="1" applyFont="1">
      <alignment horizontal="center" readingOrder="0" vertical="center"/>
    </xf>
    <xf borderId="6" fillId="4" fontId="55" numFmtId="0" xfId="0" applyAlignment="1" applyBorder="1" applyFont="1">
      <alignment horizontal="left" readingOrder="0" vertical="center"/>
    </xf>
    <xf borderId="6" fillId="4" fontId="56" numFmtId="0" xfId="0" applyAlignment="1" applyBorder="1" applyFont="1">
      <alignment horizontal="left" readingOrder="0" vertical="center"/>
    </xf>
    <xf borderId="6" fillId="4" fontId="8" numFmtId="0" xfId="0" applyAlignment="1" applyBorder="1" applyFont="1">
      <alignment horizontal="center" readingOrder="0" vertical="center"/>
    </xf>
    <xf borderId="6" fillId="0" fontId="4" numFmtId="165" xfId="0" applyAlignment="1" applyBorder="1" applyFont="1" applyNumberFormat="1">
      <alignment horizontal="center" readingOrder="0" vertical="center"/>
    </xf>
    <xf borderId="3" fillId="4" fontId="12" numFmtId="164" xfId="0" applyAlignment="1" applyBorder="1" applyFont="1" applyNumberFormat="1">
      <alignment horizontal="center" vertical="center"/>
    </xf>
    <xf borderId="6" fillId="4" fontId="12" numFmtId="0" xfId="0" applyAlignment="1" applyBorder="1" applyFont="1">
      <alignment horizontal="left" vertical="center"/>
    </xf>
    <xf borderId="6" fillId="4" fontId="12" numFmtId="0" xfId="0" applyAlignment="1" applyBorder="1" applyFont="1">
      <alignment horizontal="center" vertical="center"/>
    </xf>
    <xf borderId="6" fillId="0" fontId="9" numFmtId="0" xfId="0" applyAlignment="1" applyBorder="1" applyFont="1">
      <alignment horizontal="center" readingOrder="0"/>
    </xf>
    <xf borderId="3" fillId="5" fontId="12" numFmtId="164" xfId="0" applyAlignment="1" applyBorder="1" applyFont="1" applyNumberFormat="1">
      <alignment horizontal="center" readingOrder="0" vertical="bottom"/>
    </xf>
    <xf borderId="3" fillId="10" fontId="12" numFmtId="0" xfId="0" applyAlignment="1" applyBorder="1" applyFont="1">
      <alignment horizontal="center" vertical="bottom"/>
    </xf>
    <xf borderId="3" fillId="5" fontId="57" numFmtId="0" xfId="0" applyAlignment="1" applyBorder="1" applyFont="1">
      <alignment vertical="bottom"/>
    </xf>
    <xf borderId="3" fillId="0" fontId="9" numFmtId="0" xfId="0" applyAlignment="1" applyBorder="1" applyFont="1">
      <alignment horizontal="center" readingOrder="0"/>
    </xf>
    <xf borderId="3" fillId="10" fontId="10" numFmtId="0" xfId="0" applyAlignment="1" applyBorder="1" applyFont="1">
      <alignment horizontal="center" readingOrder="0"/>
    </xf>
    <xf borderId="3" fillId="0" fontId="4" numFmtId="164" xfId="0" applyAlignment="1" applyBorder="1" applyFont="1" applyNumberFormat="1">
      <alignment horizontal="center"/>
    </xf>
    <xf borderId="1" fillId="3" fontId="8" numFmtId="1" xfId="0" applyAlignment="1" applyBorder="1" applyFont="1" applyNumberFormat="1">
      <alignment horizontal="center" readingOrder="0"/>
    </xf>
    <xf borderId="4" fillId="0" fontId="9" numFmtId="0" xfId="0" applyAlignment="1" applyBorder="1" applyFont="1">
      <alignment horizontal="center" readingOrder="0" vertical="center"/>
    </xf>
    <xf borderId="3" fillId="14" fontId="12" numFmtId="1" xfId="0" applyAlignment="1" applyBorder="1" applyFill="1" applyFont="1" applyNumberFormat="1">
      <alignment horizontal="center"/>
    </xf>
    <xf borderId="3" fillId="15" fontId="12" numFmtId="1" xfId="0" applyAlignment="1" applyBorder="1" applyFill="1" applyFont="1" applyNumberFormat="1">
      <alignment horizontal="center"/>
    </xf>
    <xf borderId="3" fillId="16" fontId="12" numFmtId="1" xfId="0" applyAlignment="1" applyBorder="1" applyFill="1" applyFont="1" applyNumberFormat="1">
      <alignment horizontal="center"/>
    </xf>
    <xf borderId="3" fillId="17" fontId="12" numFmtId="1" xfId="0" applyAlignment="1" applyBorder="1" applyFill="1" applyFont="1" applyNumberFormat="1">
      <alignment horizontal="center"/>
    </xf>
    <xf borderId="3" fillId="18" fontId="12" numFmtId="1" xfId="0" applyAlignment="1" applyBorder="1" applyFill="1" applyFont="1" applyNumberFormat="1">
      <alignment horizontal="center"/>
    </xf>
    <xf borderId="3" fillId="19" fontId="12" numFmtId="1" xfId="0" applyAlignment="1" applyBorder="1" applyFill="1" applyFont="1" applyNumberFormat="1">
      <alignment horizontal="center"/>
    </xf>
    <xf borderId="3" fillId="20" fontId="12" numFmtId="1" xfId="0" applyAlignment="1" applyBorder="1" applyFill="1" applyFont="1" applyNumberFormat="1">
      <alignment horizontal="center"/>
    </xf>
    <xf borderId="3" fillId="21" fontId="12" numFmtId="1" xfId="0" applyAlignment="1" applyBorder="1" applyFill="1" applyFont="1" applyNumberFormat="1">
      <alignment horizontal="center"/>
    </xf>
    <xf borderId="3" fillId="22" fontId="12" numFmtId="1" xfId="0" applyAlignment="1" applyBorder="1" applyFill="1" applyFont="1" applyNumberFormat="1">
      <alignment horizontal="center"/>
    </xf>
    <xf borderId="3" fillId="23" fontId="12" numFmtId="1" xfId="0" applyAlignment="1" applyBorder="1" applyFill="1" applyFont="1" applyNumberFormat="1">
      <alignment horizontal="center"/>
    </xf>
    <xf borderId="3" fillId="24" fontId="12" numFmtId="1" xfId="0" applyAlignment="1" applyBorder="1" applyFill="1" applyFont="1" applyNumberFormat="1">
      <alignment horizontal="center"/>
    </xf>
    <xf borderId="3" fillId="25" fontId="12" numFmtId="1" xfId="0" applyAlignment="1" applyBorder="1" applyFill="1" applyFont="1" applyNumberFormat="1">
      <alignment horizontal="center"/>
    </xf>
    <xf borderId="3" fillId="26" fontId="12" numFmtId="1" xfId="0" applyAlignment="1" applyBorder="1" applyFill="1" applyFont="1" applyNumberFormat="1">
      <alignment horizontal="center"/>
    </xf>
    <xf borderId="3" fillId="27" fontId="12" numFmtId="0" xfId="0" applyAlignment="1" applyBorder="1" applyFill="1" applyFont="1">
      <alignment horizontal="center" vertical="bottom"/>
    </xf>
    <xf borderId="3" fillId="28" fontId="12" numFmtId="0" xfId="0" applyAlignment="1" applyBorder="1" applyFill="1" applyFont="1">
      <alignment horizontal="center" readingOrder="0" vertical="bottom"/>
    </xf>
    <xf borderId="6" fillId="5" fontId="12" numFmtId="0" xfId="0" applyAlignment="1" applyBorder="1" applyFont="1">
      <alignment horizontal="center" readingOrder="0"/>
    </xf>
    <xf borderId="3" fillId="5" fontId="12" numFmtId="0" xfId="0" applyAlignment="1" applyBorder="1" applyFont="1">
      <alignment horizontal="center"/>
    </xf>
    <xf borderId="3" fillId="5" fontId="12" numFmtId="0" xfId="0" applyAlignment="1" applyBorder="1" applyFont="1">
      <alignment horizontal="center" readingOrder="0"/>
    </xf>
    <xf borderId="5" fillId="5" fontId="12" numFmtId="0" xfId="0" applyAlignment="1" applyBorder="1" applyFont="1">
      <alignment horizontal="center"/>
    </xf>
    <xf borderId="3" fillId="29" fontId="12" numFmtId="1" xfId="0" applyAlignment="1" applyBorder="1" applyFill="1" applyFont="1" applyNumberFormat="1">
      <alignment horizontal="center"/>
    </xf>
    <xf borderId="3" fillId="30" fontId="12" numFmtId="1" xfId="0" applyAlignment="1" applyBorder="1" applyFill="1" applyFont="1" applyNumberFormat="1">
      <alignment horizontal="center"/>
    </xf>
    <xf borderId="3" fillId="31" fontId="12" numFmtId="1" xfId="0" applyAlignment="1" applyBorder="1" applyFill="1" applyFont="1" applyNumberFormat="1">
      <alignment horizontal="center"/>
    </xf>
    <xf borderId="3" fillId="32" fontId="12" numFmtId="1" xfId="0" applyAlignment="1" applyBorder="1" applyFill="1" applyFont="1" applyNumberFormat="1">
      <alignment horizontal="center"/>
    </xf>
    <xf borderId="3" fillId="8" fontId="4" numFmtId="0" xfId="0" applyAlignment="1" applyBorder="1" applyFont="1">
      <alignment horizontal="center" readingOrder="0" vertical="center"/>
    </xf>
    <xf borderId="3" fillId="33" fontId="12" numFmtId="1" xfId="0" applyAlignment="1" applyBorder="1" applyFill="1" applyFont="1" applyNumberFormat="1">
      <alignment horizontal="center"/>
    </xf>
    <xf borderId="3" fillId="34" fontId="12" numFmtId="1" xfId="0" applyAlignment="1" applyBorder="1" applyFill="1" applyFont="1" applyNumberFormat="1">
      <alignment horizontal="center"/>
    </xf>
    <xf borderId="3" fillId="35" fontId="12" numFmtId="1" xfId="0" applyAlignment="1" applyBorder="1" applyFill="1" applyFont="1" applyNumberFormat="1">
      <alignment horizontal="center"/>
    </xf>
    <xf borderId="3" fillId="36" fontId="12" numFmtId="1" xfId="0" applyAlignment="1" applyBorder="1" applyFill="1" applyFont="1" applyNumberFormat="1">
      <alignment horizontal="center"/>
    </xf>
    <xf borderId="3" fillId="37" fontId="12" numFmtId="1" xfId="0" applyAlignment="1" applyBorder="1" applyFill="1" applyFont="1" applyNumberFormat="1">
      <alignment horizontal="center"/>
    </xf>
    <xf borderId="3" fillId="38" fontId="12" numFmtId="1" xfId="0" applyAlignment="1" applyBorder="1" applyFill="1" applyFont="1" applyNumberFormat="1">
      <alignment horizontal="center"/>
    </xf>
    <xf borderId="3" fillId="39" fontId="12" numFmtId="1" xfId="0" applyAlignment="1" applyBorder="1" applyFill="1" applyFont="1" applyNumberFormat="1">
      <alignment horizontal="center"/>
    </xf>
    <xf borderId="3" fillId="40" fontId="12" numFmtId="1" xfId="0" applyAlignment="1" applyBorder="1" applyFill="1" applyFont="1" applyNumberFormat="1">
      <alignment horizontal="center"/>
    </xf>
    <xf borderId="3" fillId="41" fontId="12" numFmtId="1" xfId="0" applyAlignment="1" applyBorder="1" applyFill="1" applyFont="1" applyNumberFormat="1">
      <alignment horizontal="center"/>
    </xf>
    <xf borderId="3" fillId="42" fontId="12" numFmtId="1" xfId="0" applyAlignment="1" applyBorder="1" applyFill="1" applyFont="1" applyNumberFormat="1">
      <alignment horizontal="center"/>
    </xf>
    <xf borderId="3" fillId="43" fontId="12" numFmtId="1" xfId="0" applyAlignment="1" applyBorder="1" applyFill="1" applyFont="1" applyNumberFormat="1">
      <alignment horizontal="center"/>
    </xf>
    <xf borderId="3" fillId="44" fontId="12" numFmtId="1" xfId="0" applyAlignment="1" applyBorder="1" applyFill="1" applyFont="1" applyNumberFormat="1">
      <alignment horizontal="center"/>
    </xf>
    <xf borderId="3" fillId="45" fontId="12" numFmtId="1" xfId="0" applyAlignment="1" applyBorder="1" applyFill="1" applyFont="1" applyNumberFormat="1">
      <alignment horizontal="center"/>
    </xf>
    <xf borderId="3" fillId="46" fontId="12" numFmtId="1" xfId="0" applyAlignment="1" applyBorder="1" applyFill="1" applyFont="1" applyNumberFormat="1">
      <alignment horizontal="center"/>
    </xf>
    <xf borderId="3" fillId="47" fontId="12" numFmtId="1" xfId="0" applyAlignment="1" applyBorder="1" applyFill="1" applyFont="1" applyNumberFormat="1">
      <alignment horizontal="center"/>
    </xf>
    <xf borderId="3" fillId="48" fontId="12" numFmtId="1" xfId="0" applyAlignment="1" applyBorder="1" applyFill="1" applyFont="1" applyNumberFormat="1">
      <alignment horizontal="center"/>
    </xf>
    <xf borderId="3" fillId="49" fontId="12" numFmtId="1" xfId="0" applyAlignment="1" applyBorder="1" applyFill="1" applyFont="1" applyNumberFormat="1">
      <alignment horizontal="center"/>
    </xf>
    <xf borderId="3" fillId="50" fontId="12" numFmtId="1" xfId="0" applyAlignment="1" applyBorder="1" applyFill="1" applyFont="1" applyNumberFormat="1">
      <alignment horizontal="center"/>
    </xf>
    <xf borderId="6" fillId="0" fontId="9" numFmtId="0" xfId="0" applyAlignment="1" applyBorder="1" applyFont="1">
      <alignment horizontal="center" readingOrder="0" vertical="center"/>
    </xf>
    <xf borderId="3" fillId="9" fontId="4" numFmtId="0" xfId="0" applyAlignment="1" applyBorder="1" applyFont="1">
      <alignment horizontal="center" readingOrder="0" vertical="center"/>
    </xf>
    <xf borderId="3" fillId="51" fontId="12" numFmtId="1" xfId="0" applyAlignment="1" applyBorder="1" applyFill="1" applyFont="1" applyNumberFormat="1">
      <alignment horizontal="center"/>
    </xf>
    <xf borderId="3" fillId="52" fontId="12" numFmtId="1" xfId="0" applyAlignment="1" applyBorder="1" applyFill="1" applyFont="1" applyNumberFormat="1">
      <alignment horizontal="center"/>
    </xf>
    <xf borderId="3" fillId="53" fontId="12" numFmtId="1" xfId="0" applyAlignment="1" applyBorder="1" applyFill="1" applyFont="1" applyNumberFormat="1">
      <alignment horizontal="center"/>
    </xf>
    <xf borderId="3" fillId="0" fontId="58" numFmtId="0" xfId="0" applyAlignment="1" applyBorder="1" applyFont="1">
      <alignment readingOrder="0"/>
    </xf>
    <xf borderId="3" fillId="54" fontId="12" numFmtId="1" xfId="0" applyAlignment="1" applyBorder="1" applyFill="1" applyFont="1" applyNumberFormat="1">
      <alignment horizontal="center"/>
    </xf>
    <xf borderId="3" fillId="55" fontId="12" numFmtId="1" xfId="0" applyAlignment="1" applyBorder="1" applyFill="1" applyFont="1" applyNumberFormat="1">
      <alignment horizontal="center"/>
    </xf>
    <xf borderId="3" fillId="56" fontId="12" numFmtId="1" xfId="0" applyAlignment="1" applyBorder="1" applyFill="1" applyFont="1" applyNumberFormat="1">
      <alignment horizontal="center"/>
    </xf>
    <xf borderId="3" fillId="57" fontId="12" numFmtId="1" xfId="0" applyAlignment="1" applyBorder="1" applyFill="1" applyFont="1" applyNumberFormat="1">
      <alignment horizontal="center"/>
    </xf>
    <xf borderId="0" fillId="4" fontId="59" numFmtId="0" xfId="0" applyAlignment="1" applyFont="1">
      <alignment readingOrder="0" vertical="bottom"/>
    </xf>
    <xf borderId="3" fillId="4" fontId="12" numFmtId="0" xfId="0" applyAlignment="1" applyBorder="1" applyFont="1">
      <alignment horizontal="center" vertical="center"/>
    </xf>
    <xf borderId="3" fillId="0" fontId="60" numFmtId="0" xfId="0" applyAlignment="1" applyBorder="1" applyFont="1">
      <alignment horizontal="left" readingOrder="0"/>
    </xf>
    <xf borderId="3" fillId="31" fontId="8" numFmtId="1" xfId="0" applyAlignment="1" applyBorder="1" applyFont="1" applyNumberFormat="1">
      <alignment horizontal="center"/>
    </xf>
    <xf borderId="3" fillId="58" fontId="12" numFmtId="1" xfId="0" applyAlignment="1" applyBorder="1" applyFill="1" applyFont="1" applyNumberFormat="1">
      <alignment horizontal="center"/>
    </xf>
    <xf borderId="3" fillId="59" fontId="12" numFmtId="1" xfId="0" applyAlignment="1" applyBorder="1" applyFill="1" applyFont="1" applyNumberFormat="1">
      <alignment horizontal="center"/>
    </xf>
    <xf borderId="3" fillId="60" fontId="12" numFmtId="1" xfId="0" applyAlignment="1" applyBorder="1" applyFill="1" applyFont="1" applyNumberFormat="1">
      <alignment horizontal="center"/>
    </xf>
    <xf borderId="3" fillId="4" fontId="12" numFmtId="1" xfId="0" applyBorder="1" applyFont="1" applyNumberFormat="1"/>
    <xf borderId="3" fillId="13" fontId="4" numFmtId="0" xfId="0" applyAlignment="1" applyBorder="1" applyFont="1">
      <alignment horizontal="center" readingOrder="0"/>
    </xf>
    <xf borderId="1" fillId="3" fontId="61" numFmtId="0" xfId="0" applyAlignment="1" applyBorder="1" applyFont="1">
      <alignment horizontal="center" readingOrder="0" shrinkToFit="0" vertical="center" wrapText="1"/>
    </xf>
    <xf borderId="1" fillId="3" fontId="61" numFmtId="0" xfId="0" applyAlignment="1" applyBorder="1" applyFont="1">
      <alignment horizontal="center" readingOrder="0" vertical="center"/>
    </xf>
    <xf borderId="7" fillId="4" fontId="3" numFmtId="0" xfId="0" applyAlignment="1" applyBorder="1" applyFont="1">
      <alignment horizontal="center" readingOrder="0" vertical="center"/>
    </xf>
    <xf borderId="7" fillId="4" fontId="62" numFmtId="0" xfId="0" applyAlignment="1" applyBorder="1" applyFont="1">
      <alignment horizontal="center" readingOrder="0" shrinkToFit="0" vertical="center" wrapText="1"/>
    </xf>
    <xf borderId="7" fillId="2" fontId="63" numFmtId="0" xfId="0" applyAlignment="1" applyBorder="1" applyFont="1">
      <alignment horizontal="center" vertical="center"/>
    </xf>
    <xf borderId="7" fillId="4" fontId="63" numFmtId="0" xfId="0" applyAlignment="1" applyBorder="1" applyFont="1">
      <alignment horizontal="center" readingOrder="0" shrinkToFit="0" vertical="center" wrapText="1"/>
    </xf>
    <xf borderId="7" fillId="4" fontId="1" numFmtId="0" xfId="0" applyAlignment="1" applyBorder="1" applyFont="1">
      <alignment horizontal="center" readingOrder="0" shrinkToFit="0" vertical="center" wrapText="1"/>
    </xf>
    <xf borderId="7" fillId="4" fontId="3" numFmtId="0" xfId="0" applyAlignment="1" applyBorder="1" applyFont="1">
      <alignment horizontal="center" readingOrder="0" shrinkToFit="0" vertical="center" wrapText="1"/>
    </xf>
    <xf borderId="2" fillId="4" fontId="1" numFmtId="0" xfId="0" applyAlignment="1" applyBorder="1" applyFont="1">
      <alignment horizontal="center" readingOrder="0" shrinkToFit="0" vertical="center" wrapText="1"/>
    </xf>
    <xf borderId="7" fillId="5" fontId="3" numFmtId="0" xfId="0" applyAlignment="1" applyBorder="1" applyFont="1">
      <alignment horizontal="center" readingOrder="0" vertical="center"/>
    </xf>
    <xf borderId="7" fillId="5" fontId="64" numFmtId="0" xfId="0" applyAlignment="1" applyBorder="1" applyFont="1">
      <alignment horizontal="center" readingOrder="0" shrinkToFit="0" vertical="center" wrapText="1"/>
    </xf>
    <xf borderId="7" fillId="7" fontId="63" numFmtId="0" xfId="0" applyAlignment="1" applyBorder="1" applyFont="1">
      <alignment horizontal="center" vertical="center"/>
    </xf>
    <xf borderId="7" fillId="5" fontId="63" numFmtId="0" xfId="0" applyAlignment="1" applyBorder="1" applyFont="1">
      <alignment horizontal="center" readingOrder="0" shrinkToFit="0" vertical="center" wrapText="1"/>
    </xf>
    <xf borderId="7" fillId="5" fontId="1" numFmtId="0" xfId="0" applyAlignment="1" applyBorder="1" applyFont="1">
      <alignment horizontal="center" readingOrder="0" shrinkToFit="0" vertical="center" wrapText="1"/>
    </xf>
    <xf borderId="7" fillId="5" fontId="3" numFmtId="0" xfId="0" applyAlignment="1" applyBorder="1" applyFont="1">
      <alignment horizontal="center" readingOrder="0" shrinkToFit="0" vertical="center" wrapText="1"/>
    </xf>
    <xf borderId="7" fillId="5" fontId="1" numFmtId="0" xfId="0" applyAlignment="1" applyBorder="1" applyFont="1">
      <alignment horizontal="center" shrinkToFit="0" vertical="center" wrapText="1"/>
    </xf>
    <xf borderId="3" fillId="5" fontId="1" numFmtId="0" xfId="0" applyAlignment="1" applyBorder="1" applyFont="1">
      <alignment horizontal="center" readingOrder="0" shrinkToFit="0" vertical="center" wrapText="1"/>
    </xf>
    <xf borderId="7" fillId="4" fontId="1" numFmtId="0" xfId="0" applyAlignment="1" applyBorder="1" applyFont="1">
      <alignment horizontal="center" shrinkToFit="0" vertical="center" wrapText="1"/>
    </xf>
    <xf borderId="3" fillId="4" fontId="1" numFmtId="0" xfId="0" applyAlignment="1" applyBorder="1" applyFont="1">
      <alignment horizontal="center" readingOrder="0" shrinkToFit="0" vertical="center" wrapText="1"/>
    </xf>
    <xf borderId="4" fillId="5" fontId="1" numFmtId="0" xfId="0" applyAlignment="1" applyBorder="1" applyFont="1">
      <alignment horizontal="center" readingOrder="0" shrinkToFit="0" vertical="center" wrapText="1"/>
    </xf>
    <xf borderId="7" fillId="4" fontId="1" numFmtId="165" xfId="0" applyAlignment="1" applyBorder="1" applyFont="1" applyNumberFormat="1">
      <alignment horizontal="center" readingOrder="0" shrinkToFit="0" vertical="center" wrapText="1"/>
    </xf>
    <xf borderId="7" fillId="4" fontId="4" numFmtId="0" xfId="0" applyBorder="1" applyFont="1"/>
    <xf borderId="7" fillId="5" fontId="1" numFmtId="165" xfId="0" applyAlignment="1" applyBorder="1" applyFont="1" applyNumberFormat="1">
      <alignment horizontal="center" readingOrder="0" shrinkToFit="0" vertical="center" wrapText="1"/>
    </xf>
    <xf borderId="8" fillId="5" fontId="1" numFmtId="0" xfId="0" applyAlignment="1" applyBorder="1" applyFont="1">
      <alignment horizontal="center" readingOrder="0" shrinkToFit="0" vertical="center" wrapText="1"/>
    </xf>
    <xf borderId="7" fillId="4" fontId="65" numFmtId="0" xfId="0" applyAlignment="1" applyBorder="1" applyFont="1">
      <alignment horizontal="center" readingOrder="0" shrinkToFit="0" vertical="center" wrapText="1"/>
    </xf>
    <xf borderId="0" fillId="4" fontId="1" numFmtId="0" xfId="0" applyAlignment="1" applyFont="1">
      <alignment horizontal="center" readingOrder="0" shrinkToFit="0" vertical="center" wrapText="1"/>
    </xf>
    <xf borderId="7" fillId="5" fontId="66" numFmtId="0" xfId="0" applyAlignment="1" applyBorder="1" applyFont="1">
      <alignment horizontal="center" readingOrder="0" shrinkToFit="0" vertical="center" wrapText="1"/>
    </xf>
    <xf borderId="0" fillId="5" fontId="1" numFmtId="0" xfId="0" applyAlignment="1" applyFont="1">
      <alignment horizontal="center" shrinkToFit="0" vertical="center" wrapText="1"/>
    </xf>
    <xf borderId="0" fillId="5" fontId="1" numFmtId="0" xfId="0" applyAlignment="1" applyFont="1">
      <alignment horizontal="center" readingOrder="0" shrinkToFit="0" vertical="center" wrapText="1"/>
    </xf>
    <xf borderId="7" fillId="4" fontId="67" numFmtId="0" xfId="0" applyAlignment="1" applyBorder="1" applyFont="1">
      <alignment horizontal="center" readingOrder="0" shrinkToFit="0" vertical="center" wrapText="1"/>
    </xf>
    <xf borderId="7" fillId="7" fontId="63" numFmtId="0" xfId="0" applyAlignment="1" applyBorder="1" applyFont="1">
      <alignment horizontal="center" readingOrder="0" vertical="center"/>
    </xf>
    <xf borderId="7" fillId="27" fontId="63" numFmtId="0" xfId="0" applyAlignment="1" applyBorder="1" applyFont="1">
      <alignment horizontal="center" vertical="center"/>
    </xf>
    <xf borderId="7" fillId="5" fontId="1" numFmtId="0" xfId="0" applyAlignment="1" applyBorder="1" applyFont="1">
      <alignment horizontal="center" shrinkToFit="0" vertical="center" wrapText="1"/>
    </xf>
    <xf borderId="7" fillId="5" fontId="68" numFmtId="0" xfId="0" applyAlignment="1" applyBorder="1" applyFont="1">
      <alignment horizontal="center" shrinkToFit="0" vertical="center" wrapText="1"/>
    </xf>
    <xf borderId="7" fillId="27" fontId="12" numFmtId="0" xfId="0" applyAlignment="1" applyBorder="1" applyFont="1">
      <alignment horizontal="center" vertical="center"/>
    </xf>
    <xf borderId="7" fillId="5" fontId="1" numFmtId="0" xfId="0" applyAlignment="1" applyBorder="1" applyFont="1">
      <alignment horizontal="center" readingOrder="0" shrinkToFit="0" vertical="center" wrapText="1"/>
    </xf>
    <xf borderId="7" fillId="4" fontId="69" numFmtId="0" xfId="0" applyAlignment="1" applyBorder="1" applyFont="1">
      <alignment horizontal="center" readingOrder="0" shrinkToFit="0" vertical="center" wrapText="1"/>
    </xf>
    <xf borderId="7" fillId="4" fontId="1" numFmtId="0" xfId="0" applyAlignment="1" applyBorder="1" applyFont="1">
      <alignment horizontal="center" readingOrder="0" shrinkToFit="0" vertical="center" wrapText="1"/>
    </xf>
    <xf borderId="7" fillId="4" fontId="1" numFmtId="0" xfId="0" applyAlignment="1" applyBorder="1" applyFont="1">
      <alignment horizontal="center" shrinkToFit="0" vertical="center" wrapText="1"/>
    </xf>
    <xf borderId="7" fillId="5" fontId="70" numFmtId="0" xfId="0" applyAlignment="1" applyBorder="1" applyFont="1">
      <alignment horizontal="center" readingOrder="0" shrinkToFit="0" vertical="center" wrapText="1"/>
    </xf>
    <xf borderId="7" fillId="27" fontId="12" numFmtId="0" xfId="0" applyAlignment="1" applyBorder="1" applyFont="1">
      <alignment vertical="center"/>
    </xf>
    <xf borderId="7" fillId="4" fontId="3" numFmtId="0" xfId="0" applyAlignment="1" applyBorder="1" applyFont="1">
      <alignment horizontal="center" vertical="center"/>
    </xf>
    <xf borderId="7" fillId="4" fontId="71" numFmtId="0" xfId="0" applyAlignment="1" applyBorder="1" applyFont="1">
      <alignment horizontal="center" shrinkToFit="0" vertical="center" wrapText="1"/>
    </xf>
    <xf borderId="7" fillId="27" fontId="63" numFmtId="0" xfId="0" applyAlignment="1" applyBorder="1" applyFont="1">
      <alignment horizontal="center" readingOrder="0" vertical="center"/>
    </xf>
    <xf borderId="7" fillId="61" fontId="63" numFmtId="0" xfId="0" applyAlignment="1" applyBorder="1" applyFill="1" applyFont="1">
      <alignment horizontal="center" vertical="center"/>
    </xf>
    <xf borderId="7" fillId="4" fontId="1" numFmtId="0" xfId="0" applyAlignment="1" applyBorder="1" applyFont="1">
      <alignment horizontal="center" readingOrder="0" shrinkToFit="0" vertical="center" wrapText="1"/>
    </xf>
    <xf borderId="7" fillId="62" fontId="3" numFmtId="0" xfId="0" applyAlignment="1" applyBorder="1" applyFill="1" applyFont="1">
      <alignment horizontal="center" readingOrder="0" vertical="center"/>
    </xf>
    <xf borderId="7" fillId="62" fontId="63" numFmtId="0" xfId="0" applyAlignment="1" applyBorder="1" applyFont="1">
      <alignment horizontal="center" readingOrder="0" shrinkToFit="0" vertical="center" wrapText="1"/>
    </xf>
    <xf borderId="7" fillId="62" fontId="63" numFmtId="0" xfId="0" applyAlignment="1" applyBorder="1" applyFont="1">
      <alignment horizontal="center" vertical="center"/>
    </xf>
    <xf borderId="7" fillId="62" fontId="1" numFmtId="0" xfId="0" applyAlignment="1" applyBorder="1" applyFont="1">
      <alignment horizontal="center" readingOrder="0" shrinkToFit="0" vertical="center" wrapText="1"/>
    </xf>
    <xf borderId="7" fillId="62" fontId="3" numFmtId="0" xfId="0" applyAlignment="1" applyBorder="1" applyFont="1">
      <alignment horizontal="center" readingOrder="0" shrinkToFit="0" vertical="center" wrapText="1"/>
    </xf>
    <xf borderId="7" fillId="62" fontId="1" numFmtId="0" xfId="0" applyAlignment="1" applyBorder="1" applyFont="1">
      <alignment horizontal="center" shrinkToFit="0" vertical="center" wrapText="1"/>
    </xf>
    <xf borderId="7" fillId="62" fontId="63" numFmtId="0" xfId="0" applyAlignment="1" applyBorder="1" applyFont="1">
      <alignment horizontal="center" shrinkToFit="0" vertical="center" wrapText="1"/>
    </xf>
    <xf borderId="7" fillId="4" fontId="63" numFmtId="0" xfId="0" applyAlignment="1" applyBorder="1" applyFont="1">
      <alignment horizontal="center" shrinkToFit="0" vertical="center" wrapText="1"/>
    </xf>
    <xf borderId="7" fillId="5" fontId="63" numFmtId="0" xfId="0" applyAlignment="1" applyBorder="1" applyFont="1">
      <alignment horizontal="center" shrinkToFit="0" vertical="center" wrapText="1"/>
    </xf>
    <xf borderId="7" fillId="63" fontId="63" numFmtId="0" xfId="0" applyAlignment="1" applyBorder="1" applyFill="1" applyFont="1">
      <alignment horizontal="center" vertical="center"/>
    </xf>
    <xf borderId="7" fillId="5" fontId="67" numFmtId="0" xfId="0" applyAlignment="1" applyBorder="1" applyFont="1">
      <alignment horizontal="center" readingOrder="0" shrinkToFit="0" vertical="center" wrapText="1"/>
    </xf>
    <xf borderId="7" fillId="62" fontId="1" numFmtId="165" xfId="0" applyAlignment="1" applyBorder="1" applyFont="1" applyNumberFormat="1">
      <alignment horizontal="center" readingOrder="0" shrinkToFit="0" vertical="center" wrapText="1"/>
    </xf>
    <xf borderId="7" fillId="5" fontId="3" numFmtId="0" xfId="0" applyAlignment="1" applyBorder="1" applyFont="1">
      <alignment horizontal="center" vertical="center"/>
    </xf>
    <xf borderId="7" fillId="10" fontId="63" numFmtId="0" xfId="0" applyAlignment="1" applyBorder="1" applyFont="1">
      <alignment horizontal="center" vertical="center"/>
    </xf>
    <xf borderId="7" fillId="62" fontId="72" numFmtId="0" xfId="0" applyAlignment="1" applyBorder="1" applyFont="1">
      <alignment horizontal="center" readingOrder="0" vertical="center"/>
    </xf>
    <xf borderId="7" fillId="62" fontId="72" numFmtId="0" xfId="0" applyAlignment="1" applyBorder="1" applyFont="1">
      <alignment horizontal="center" readingOrder="0" shrinkToFit="0" vertical="center" wrapText="1"/>
    </xf>
    <xf borderId="7" fillId="5" fontId="72" numFmtId="0" xfId="0" applyAlignment="1" applyBorder="1" applyFont="1">
      <alignment horizontal="center" readingOrder="0" vertical="center"/>
    </xf>
    <xf borderId="7" fillId="5" fontId="4" numFmtId="0" xfId="0" applyBorder="1" applyFont="1"/>
    <xf borderId="7" fillId="5" fontId="72" numFmtId="0" xfId="0" applyAlignment="1" applyBorder="1" applyFont="1">
      <alignment horizontal="center" readingOrder="0" shrinkToFit="0" vertical="center" wrapText="1"/>
    </xf>
    <xf borderId="7" fillId="4" fontId="72" numFmtId="0" xfId="0" applyAlignment="1" applyBorder="1" applyFont="1">
      <alignment horizontal="center" readingOrder="0" vertical="center"/>
    </xf>
    <xf borderId="7" fillId="4" fontId="72" numFmtId="0" xfId="0" applyAlignment="1" applyBorder="1" applyFont="1">
      <alignment horizontal="center" readingOrder="0" shrinkToFit="0" vertical="center" wrapText="1"/>
    </xf>
    <xf borderId="7" fillId="5" fontId="63" numFmtId="165" xfId="0" applyAlignment="1" applyBorder="1" applyFont="1" applyNumberFormat="1">
      <alignment horizontal="center" readingOrder="0" shrinkToFit="0" vertical="center" wrapText="1"/>
    </xf>
    <xf borderId="7" fillId="4" fontId="63" numFmtId="165" xfId="0" applyAlignment="1" applyBorder="1" applyFont="1" applyNumberFormat="1">
      <alignment horizontal="center" readingOrder="0" shrinkToFit="0" vertical="center" wrapText="1"/>
    </xf>
    <xf borderId="7" fillId="5" fontId="72" numFmtId="0" xfId="0" applyAlignment="1" applyBorder="1" applyFont="1">
      <alignment horizontal="center" vertical="center"/>
    </xf>
    <xf borderId="7" fillId="5" fontId="72" numFmtId="0" xfId="0" applyAlignment="1" applyBorder="1" applyFont="1">
      <alignment horizontal="center" shrinkToFit="0" vertical="center" wrapText="1"/>
    </xf>
    <xf borderId="7" fillId="4" fontId="72" numFmtId="0" xfId="0" applyAlignment="1" applyBorder="1" applyFont="1">
      <alignment horizontal="center" vertical="center"/>
    </xf>
    <xf borderId="7" fillId="4" fontId="72" numFmtId="0" xfId="0" applyAlignment="1" applyBorder="1" applyFont="1">
      <alignment horizontal="center" shrinkToFit="0" vertical="center" wrapText="1"/>
    </xf>
    <xf borderId="7" fillId="62" fontId="4" numFmtId="0" xfId="0" applyAlignment="1" applyBorder="1" applyFont="1">
      <alignment horizontal="center" vertical="center"/>
    </xf>
    <xf borderId="7" fillId="62" fontId="73" numFmtId="0" xfId="0" applyAlignment="1" applyBorder="1" applyFont="1">
      <alignment horizontal="center" readingOrder="0" vertical="center"/>
    </xf>
    <xf borderId="7" fillId="62" fontId="74" numFmtId="0" xfId="0" applyAlignment="1" applyBorder="1" applyFont="1">
      <alignment horizontal="center" readingOrder="0" vertical="center"/>
    </xf>
    <xf borderId="7" fillId="63" fontId="4" numFmtId="0" xfId="0" applyAlignment="1" applyBorder="1" applyFont="1">
      <alignment horizontal="center" vertical="center"/>
    </xf>
    <xf borderId="7" fillId="5" fontId="73" numFmtId="0" xfId="0" applyAlignment="1" applyBorder="1" applyFont="1">
      <alignment horizontal="center" readingOrder="0" vertical="center"/>
    </xf>
    <xf borderId="7" fillId="5" fontId="1" numFmtId="0" xfId="0" applyAlignment="1" applyBorder="1" applyFont="1">
      <alignment horizontal="center" readingOrder="0" vertical="center"/>
    </xf>
    <xf borderId="7" fillId="5" fontId="74" numFmtId="0" xfId="0" applyAlignment="1" applyBorder="1" applyFont="1">
      <alignment horizontal="center" readingOrder="0" vertical="center"/>
    </xf>
    <xf borderId="7" fillId="4" fontId="73" numFmtId="0" xfId="0" applyAlignment="1" applyBorder="1" applyFont="1">
      <alignment horizontal="center" readingOrder="0" vertical="center"/>
    </xf>
    <xf borderId="7" fillId="4" fontId="1" numFmtId="0" xfId="0" applyAlignment="1" applyBorder="1" applyFont="1">
      <alignment horizontal="center" readingOrder="0" vertical="center"/>
    </xf>
    <xf borderId="7" fillId="4" fontId="74" numFmtId="0" xfId="0" applyAlignment="1" applyBorder="1" applyFont="1">
      <alignment horizontal="center" readingOrder="0" vertical="center"/>
    </xf>
    <xf borderId="7" fillId="27" fontId="4" numFmtId="0" xfId="0" applyAlignment="1" applyBorder="1" applyFont="1">
      <alignment horizontal="center" vertical="center"/>
    </xf>
    <xf borderId="7" fillId="5" fontId="1" numFmtId="0" xfId="0" applyAlignment="1" applyBorder="1" applyFont="1">
      <alignment horizontal="center" vertical="center"/>
    </xf>
    <xf borderId="7" fillId="5" fontId="1" numFmtId="0" xfId="0" applyAlignment="1" applyBorder="1" applyFont="1">
      <alignment horizontal="center" shrinkToFit="0" vertical="center" wrapText="1"/>
    </xf>
    <xf borderId="7" fillId="4" fontId="1" numFmtId="0" xfId="0" applyAlignment="1" applyBorder="1" applyFont="1">
      <alignment horizontal="center" vertical="center"/>
    </xf>
    <xf borderId="7" fillId="4" fontId="1" numFmtId="0" xfId="0" applyAlignment="1" applyBorder="1" applyFont="1">
      <alignment horizontal="center" shrinkToFit="0" vertical="center" wrapText="1"/>
    </xf>
    <xf borderId="7" fillId="61" fontId="4" numFmtId="0" xfId="0" applyAlignment="1" applyBorder="1" applyFont="1">
      <alignment horizontal="center" vertical="center"/>
    </xf>
    <xf borderId="7" fillId="61" fontId="12" numFmtId="0" xfId="0" applyAlignment="1" applyBorder="1" applyFont="1">
      <alignment vertical="center"/>
    </xf>
    <xf borderId="7" fillId="64" fontId="4" numFmtId="0" xfId="0" applyAlignment="1" applyBorder="1" applyFill="1" applyFont="1">
      <alignment horizontal="center" vertical="center"/>
    </xf>
    <xf borderId="8" fillId="4" fontId="75" numFmtId="0" xfId="0" applyAlignment="1" applyBorder="1" applyFont="1">
      <alignment horizontal="center" readingOrder="0" shrinkToFit="0" vertical="center" wrapText="1"/>
    </xf>
    <xf borderId="0" fillId="4" fontId="76" numFmtId="0" xfId="0" applyAlignment="1" applyFont="1">
      <alignment horizontal="center" readingOrder="0" shrinkToFit="0" vertical="center" wrapText="1"/>
    </xf>
    <xf borderId="7" fillId="5" fontId="3" numFmtId="0" xfId="0" applyAlignment="1" applyBorder="1" applyFont="1">
      <alignment horizontal="center" readingOrder="0" shrinkToFit="0" vertical="center" wrapText="1"/>
    </xf>
    <xf borderId="7" fillId="5" fontId="12" numFmtId="0" xfId="0" applyAlignment="1" applyBorder="1" applyFont="1">
      <alignment vertical="center"/>
    </xf>
    <xf borderId="7" fillId="4" fontId="3" numFmtId="0" xfId="0" applyAlignment="1" applyBorder="1" applyFont="1">
      <alignment horizontal="center" readingOrder="0" shrinkToFit="0" vertical="center" wrapText="1"/>
    </xf>
    <xf borderId="7" fillId="4" fontId="12" numFmtId="0" xfId="0" applyAlignment="1" applyBorder="1" applyFont="1">
      <alignment vertical="center"/>
    </xf>
    <xf borderId="7" fillId="4" fontId="4" numFmtId="0" xfId="0" applyAlignment="1" applyBorder="1" applyFont="1">
      <alignment horizontal="center" vertical="center"/>
    </xf>
    <xf borderId="7" fillId="4" fontId="4" numFmtId="0" xfId="0" applyAlignment="1" applyBorder="1" applyFont="1">
      <alignment horizontal="center" shrinkToFit="0" vertical="center" wrapText="1"/>
    </xf>
    <xf borderId="7" fillId="5" fontId="4" numFmtId="0" xfId="0" applyAlignment="1" applyBorder="1" applyFont="1">
      <alignment horizontal="center" vertical="center"/>
    </xf>
    <xf borderId="7" fillId="5" fontId="4" numFmtId="0" xfId="0" applyAlignment="1" applyBorder="1" applyFont="1">
      <alignment horizontal="center" shrinkToFit="0" vertical="center" wrapText="1"/>
    </xf>
    <xf borderId="1" fillId="3" fontId="7" numFmtId="0" xfId="0" applyAlignment="1" applyBorder="1" applyFont="1">
      <alignment horizontal="center" readingOrder="0" shrinkToFit="0" vertical="center" wrapText="1"/>
    </xf>
    <xf borderId="7" fillId="5" fontId="63" numFmtId="0" xfId="0" applyAlignment="1" applyBorder="1" applyFont="1">
      <alignment horizontal="center" readingOrder="0" vertical="center"/>
    </xf>
    <xf borderId="7" fillId="4" fontId="63" numFmtId="0" xfId="0" applyAlignment="1" applyBorder="1" applyFont="1">
      <alignment horizontal="center" readingOrder="0" vertical="center"/>
    </xf>
    <xf borderId="7" fillId="4" fontId="3" numFmtId="0" xfId="0" applyAlignment="1" applyBorder="1" applyFont="1">
      <alignment horizontal="center" shrinkToFit="0" vertical="center" wrapText="1"/>
    </xf>
    <xf borderId="7" fillId="4" fontId="1" numFmtId="0" xfId="0" applyAlignment="1" applyBorder="1" applyFont="1">
      <alignment vertical="center"/>
    </xf>
    <xf borderId="7" fillId="4" fontId="1" numFmtId="165" xfId="0" applyAlignment="1" applyBorder="1" applyFont="1" applyNumberFormat="1">
      <alignment horizontal="center" shrinkToFit="0" vertical="center" wrapText="1"/>
    </xf>
    <xf borderId="7" fillId="4" fontId="1" numFmtId="0" xfId="0" applyAlignment="1" applyBorder="1" applyFont="1">
      <alignment vertical="center"/>
    </xf>
    <xf borderId="7" fillId="5" fontId="3" numFmtId="0" xfId="0" applyAlignment="1" applyBorder="1" applyFont="1">
      <alignment horizontal="center" shrinkToFit="0" vertical="center" wrapText="1"/>
    </xf>
    <xf borderId="7" fillId="5" fontId="1" numFmtId="0" xfId="0" applyAlignment="1" applyBorder="1" applyFont="1">
      <alignment vertical="center"/>
    </xf>
    <xf borderId="7" fillId="64" fontId="63" numFmtId="0" xfId="0" applyAlignment="1" applyBorder="1" applyFont="1">
      <alignment horizontal="center" vertical="center"/>
    </xf>
    <xf borderId="9" fillId="4" fontId="1" numFmtId="0" xfId="0" applyAlignment="1" applyBorder="1" applyFont="1">
      <alignment horizontal="center" readingOrder="0" shrinkToFit="0" vertical="center" wrapText="1"/>
    </xf>
    <xf borderId="9" fillId="4" fontId="3" numFmtId="0" xfId="0" applyAlignment="1" applyBorder="1" applyFont="1">
      <alignment horizontal="center" readingOrder="0" shrinkToFit="0" vertical="center" wrapText="1"/>
    </xf>
    <xf borderId="9" fillId="4" fontId="1" numFmtId="0" xfId="0" applyAlignment="1" applyBorder="1" applyFont="1">
      <alignment horizontal="center" shrinkToFit="0" vertical="center" wrapText="1"/>
    </xf>
    <xf borderId="9" fillId="4" fontId="63" numFmtId="0" xfId="0" applyAlignment="1" applyBorder="1" applyFont="1">
      <alignment horizontal="center" readingOrder="0" shrinkToFit="0" vertical="center" wrapText="1"/>
    </xf>
    <xf borderId="7" fillId="5" fontId="77" numFmtId="0" xfId="0" applyAlignment="1" applyBorder="1" applyFont="1">
      <alignment horizontal="center" readingOrder="0" shrinkToFit="0" vertical="center" wrapText="1"/>
    </xf>
    <xf borderId="9" fillId="5" fontId="1" numFmtId="0" xfId="0" applyAlignment="1" applyBorder="1" applyFont="1">
      <alignment horizontal="center" readingOrder="0" shrinkToFit="0" vertical="center" wrapText="1"/>
    </xf>
    <xf borderId="9" fillId="5" fontId="63" numFmtId="0" xfId="0" applyAlignment="1" applyBorder="1" applyFont="1">
      <alignment horizontal="center" readingOrder="0" shrinkToFit="0" vertical="center" wrapText="1"/>
    </xf>
    <xf borderId="9" fillId="5" fontId="3" numFmtId="0" xfId="0" applyAlignment="1" applyBorder="1" applyFont="1">
      <alignment horizontal="center" readingOrder="0" shrinkToFit="0" vertical="center" wrapText="1"/>
    </xf>
    <xf borderId="9" fillId="5" fontId="1" numFmtId="0" xfId="0" applyAlignment="1" applyBorder="1" applyFont="1">
      <alignment horizontal="center" shrinkToFit="0" vertical="center" wrapText="1"/>
    </xf>
    <xf borderId="9" fillId="5" fontId="63" numFmtId="0" xfId="0" applyAlignment="1" applyBorder="1" applyFont="1">
      <alignment horizontal="center" readingOrder="0" vertical="center"/>
    </xf>
    <xf borderId="7" fillId="4" fontId="78" numFmtId="0" xfId="0" applyAlignment="1" applyBorder="1" applyFont="1">
      <alignment horizontal="center" readingOrder="0" shrinkToFit="0" vertical="center" wrapText="1"/>
    </xf>
    <xf borderId="9" fillId="4" fontId="1" numFmtId="0" xfId="0" applyAlignment="1" applyBorder="1" applyFont="1">
      <alignment horizontal="center" readingOrder="0" shrinkToFit="0" vertical="center" wrapText="1"/>
    </xf>
    <xf borderId="9" fillId="61" fontId="63" numFmtId="0" xfId="0" applyAlignment="1" applyBorder="1" applyFont="1">
      <alignment horizontal="center" vertical="center"/>
    </xf>
    <xf borderId="8" fillId="4" fontId="4" numFmtId="0" xfId="0" applyBorder="1" applyFont="1"/>
    <xf borderId="8" fillId="4" fontId="63" numFmtId="0" xfId="0" applyAlignment="1" applyBorder="1" applyFont="1">
      <alignment horizontal="center" readingOrder="0" shrinkToFit="0" vertical="center" wrapText="1"/>
    </xf>
    <xf borderId="8" fillId="4" fontId="3" numFmtId="0" xfId="0" applyAlignment="1" applyBorder="1" applyFont="1">
      <alignment horizontal="center" readingOrder="0" shrinkToFit="0" vertical="center" wrapText="1"/>
    </xf>
    <xf borderId="8" fillId="4" fontId="1" numFmtId="0" xfId="0" applyAlignment="1" applyBorder="1" applyFont="1">
      <alignment horizontal="center" readingOrder="0" shrinkToFit="0" vertical="center" wrapText="1"/>
    </xf>
    <xf borderId="8" fillId="5" fontId="63" numFmtId="0" xfId="0" applyAlignment="1" applyBorder="1" applyFont="1">
      <alignment horizontal="center" readingOrder="0" shrinkToFit="0" vertical="center" wrapText="1"/>
    </xf>
    <xf borderId="8" fillId="5" fontId="3" numFmtId="0" xfId="0" applyAlignment="1" applyBorder="1" applyFont="1">
      <alignment horizontal="center" readingOrder="0" shrinkToFit="0" vertical="center" wrapText="1"/>
    </xf>
    <xf borderId="8" fillId="5" fontId="63" numFmtId="0" xfId="0" applyAlignment="1" applyBorder="1" applyFont="1">
      <alignment horizontal="center" readingOrder="0" vertical="center"/>
    </xf>
    <xf borderId="8" fillId="4" fontId="63" numFmtId="0" xfId="0" applyAlignment="1" applyBorder="1" applyFont="1">
      <alignment horizontal="center" readingOrder="0" vertical="center"/>
    </xf>
    <xf borderId="8" fillId="5" fontId="63" numFmtId="0" xfId="0" applyAlignment="1" applyBorder="1" applyFont="1">
      <alignment horizontal="center" readingOrder="0" shrinkToFit="0" vertical="center" wrapText="1"/>
    </xf>
    <xf borderId="8" fillId="4" fontId="63" numFmtId="0" xfId="0" applyAlignment="1" applyBorder="1" applyFont="1">
      <alignment horizontal="center" readingOrder="0" shrinkToFit="0" vertical="center" wrapText="1"/>
    </xf>
    <xf borderId="7" fillId="27" fontId="3" numFmtId="0" xfId="0" applyAlignment="1" applyBorder="1" applyFont="1">
      <alignment horizontal="center" readingOrder="0" shrinkToFit="0" vertical="center" wrapText="1"/>
    </xf>
    <xf borderId="7" fillId="5" fontId="63" numFmtId="0" xfId="0" applyAlignment="1" applyBorder="1" applyFont="1">
      <alignment horizontal="center" vertical="center"/>
    </xf>
    <xf borderId="0" fillId="4" fontId="3" numFmtId="0" xfId="0" applyAlignment="1" applyFont="1">
      <alignment horizontal="center" readingOrder="0" shrinkToFit="0" vertical="center" wrapText="1"/>
    </xf>
    <xf borderId="0" fillId="4" fontId="63" numFmtId="0" xfId="0" applyAlignment="1" applyFont="1">
      <alignment horizontal="center" readingOrder="0" shrinkToFit="0" vertical="center" wrapText="1"/>
    </xf>
    <xf borderId="0" fillId="4" fontId="63" numFmtId="0" xfId="0" applyAlignment="1" applyFont="1">
      <alignment horizontal="center" vertical="center"/>
    </xf>
    <xf borderId="0" fillId="4" fontId="1" numFmtId="0" xfId="0" applyAlignment="1" applyFont="1">
      <alignment horizontal="center" shrinkToFit="0" vertical="center" wrapText="1"/>
    </xf>
    <xf borderId="1" fillId="0" fontId="61" numFmtId="0" xfId="0" applyAlignment="1" applyBorder="1" applyFont="1">
      <alignment horizontal="center" readingOrder="0" shrinkToFit="0" vertical="center" wrapText="1"/>
    </xf>
    <xf borderId="1" fillId="0" fontId="61" numFmtId="0" xfId="0" applyAlignment="1" applyBorder="1" applyFont="1">
      <alignment horizontal="center" readingOrder="0" vertical="center"/>
    </xf>
    <xf borderId="7" fillId="0" fontId="3" numFmtId="0" xfId="0" applyAlignment="1" applyBorder="1" applyFont="1">
      <alignment horizontal="center" readingOrder="0" vertical="center"/>
    </xf>
    <xf borderId="7" fillId="0" fontId="79" numFmtId="0" xfId="0" applyAlignment="1" applyBorder="1" applyFont="1">
      <alignment horizontal="center" readingOrder="0" shrinkToFit="0" vertical="center" wrapText="1"/>
    </xf>
    <xf borderId="7" fillId="0" fontId="1" numFmtId="0" xfId="0" applyAlignment="1" applyBorder="1" applyFont="1">
      <alignment horizontal="center" readingOrder="0" vertical="center"/>
    </xf>
    <xf borderId="7" fillId="0" fontId="3" numFmtId="0" xfId="0" applyAlignment="1" applyBorder="1" applyFont="1">
      <alignment horizontal="center" readingOrder="0" vertical="center"/>
    </xf>
    <xf borderId="7" fillId="0" fontId="1" numFmtId="0" xfId="0" applyAlignment="1" applyBorder="1" applyFont="1">
      <alignment horizontal="center" readingOrder="0" shrinkToFit="0" vertical="center" wrapText="1"/>
    </xf>
    <xf borderId="7" fillId="0" fontId="63" numFmtId="0" xfId="0" applyAlignment="1" applyBorder="1" applyFont="1">
      <alignment horizontal="center" readingOrder="0" shrinkToFit="0" vertical="center" wrapText="1"/>
    </xf>
    <xf borderId="7" fillId="0" fontId="63" numFmtId="0" xfId="0" applyAlignment="1" applyBorder="1" applyFont="1">
      <alignment horizontal="center" readingOrder="0" vertical="center"/>
    </xf>
    <xf borderId="7" fillId="0" fontId="80" numFmtId="0" xfId="0" applyAlignment="1" applyBorder="1" applyFont="1">
      <alignment horizontal="center" readingOrder="0" shrinkToFit="0" vertical="center" wrapText="1"/>
    </xf>
    <xf borderId="7" fillId="0" fontId="63" numFmtId="0" xfId="0" applyAlignment="1" applyBorder="1" applyFont="1">
      <alignment horizontal="center" vertical="center"/>
    </xf>
    <xf borderId="7" fillId="0" fontId="63" numFmtId="165" xfId="0" applyAlignment="1" applyBorder="1" applyFont="1" applyNumberFormat="1">
      <alignment horizontal="center" readingOrder="0" shrinkToFit="0" vertical="center" wrapText="1"/>
    </xf>
    <xf borderId="7" fillId="7" fontId="3" numFmtId="0" xfId="0" applyAlignment="1" applyBorder="1" applyFont="1">
      <alignment horizontal="center" readingOrder="0" vertical="center"/>
    </xf>
    <xf borderId="7" fillId="4" fontId="81" numFmtId="0" xfId="0" applyAlignment="1" applyBorder="1" applyFont="1">
      <alignment horizontal="center" readingOrder="0" shrinkToFit="0" vertical="center" wrapText="1"/>
    </xf>
    <xf borderId="7" fillId="4" fontId="1" numFmtId="0" xfId="0" applyAlignment="1" applyBorder="1" applyFont="1">
      <alignment horizontal="center" readingOrder="0" vertical="center"/>
    </xf>
    <xf borderId="7" fillId="33" fontId="3" numFmtId="0" xfId="0" applyAlignment="1" applyBorder="1" applyFont="1">
      <alignment horizontal="center" readingOrder="0" vertical="center"/>
    </xf>
    <xf borderId="7" fillId="44" fontId="1" numFmtId="0" xfId="0" applyAlignment="1" applyBorder="1" applyFont="1">
      <alignment horizontal="center" readingOrder="0" shrinkToFit="0" vertical="center" wrapText="1"/>
    </xf>
    <xf borderId="7" fillId="4" fontId="1" numFmtId="0" xfId="0" applyAlignment="1" applyBorder="1" applyFont="1">
      <alignment horizontal="center" readingOrder="0" shrinkToFit="0" vertical="center" wrapText="1"/>
    </xf>
    <xf borderId="7" fillId="4" fontId="82" numFmtId="0" xfId="0" applyAlignment="1" applyBorder="1" applyFont="1">
      <alignment horizontal="center" readingOrder="0" shrinkToFit="0" vertical="center" wrapText="1"/>
    </xf>
    <xf borderId="7" fillId="4" fontId="83" numFmtId="0" xfId="0" applyAlignment="1" applyBorder="1" applyFont="1">
      <alignment horizontal="center" readingOrder="0" shrinkToFit="0" vertical="center" wrapText="1"/>
    </xf>
    <xf borderId="7" fillId="7" fontId="3" numFmtId="0" xfId="0" applyAlignment="1" applyBorder="1" applyFont="1">
      <alignment horizontal="center" vertical="center"/>
    </xf>
    <xf borderId="7" fillId="4" fontId="84" numFmtId="0" xfId="0" applyAlignment="1" applyBorder="1" applyFont="1">
      <alignment horizontal="center" shrinkToFit="0" vertical="center" wrapText="1"/>
    </xf>
    <xf borderId="7" fillId="44" fontId="1" numFmtId="0" xfId="0" applyAlignment="1" applyBorder="1" applyFont="1">
      <alignment horizontal="center" shrinkToFit="0" vertical="center" wrapText="1"/>
    </xf>
    <xf borderId="7" fillId="4" fontId="1" numFmtId="165" xfId="0" applyAlignment="1" applyBorder="1" applyFont="1" applyNumberFormat="1">
      <alignment horizontal="center" readingOrder="0" shrinkToFit="0" vertical="center" wrapText="1"/>
    </xf>
    <xf borderId="7" fillId="4" fontId="12" numFmtId="0" xfId="0" applyAlignment="1" applyBorder="1" applyFont="1">
      <alignment vertical="center"/>
    </xf>
    <xf borderId="7" fillId="5" fontId="85" numFmtId="0" xfId="0" applyAlignment="1" applyBorder="1" applyFont="1">
      <alignment horizontal="center" shrinkToFit="0" vertical="center" wrapText="1"/>
    </xf>
    <xf borderId="7" fillId="5" fontId="1" numFmtId="0" xfId="0" applyAlignment="1" applyBorder="1" applyFont="1">
      <alignment horizontal="center" readingOrder="0" vertical="center"/>
    </xf>
    <xf borderId="7" fillId="65" fontId="3" numFmtId="0" xfId="0" applyAlignment="1" applyBorder="1" applyFill="1" applyFont="1">
      <alignment horizontal="center" readingOrder="0" vertical="center"/>
    </xf>
    <xf borderId="7" fillId="57" fontId="1" numFmtId="0" xfId="0" applyAlignment="1" applyBorder="1" applyFont="1">
      <alignment horizontal="center" shrinkToFit="0" vertical="center" wrapText="1"/>
    </xf>
    <xf borderId="7" fillId="5" fontId="1" numFmtId="0" xfId="0" applyAlignment="1" applyBorder="1" applyFont="1">
      <alignment horizontal="center" readingOrder="0" shrinkToFit="0" vertical="center" wrapText="1"/>
    </xf>
    <xf borderId="7" fillId="5" fontId="12" numFmtId="0" xfId="0" applyAlignment="1" applyBorder="1" applyFont="1">
      <alignment vertical="center"/>
    </xf>
    <xf borderId="7" fillId="66" fontId="3" numFmtId="0" xfId="0" applyAlignment="1" applyBorder="1" applyFill="1" applyFont="1">
      <alignment horizontal="center" readingOrder="0" vertical="center"/>
    </xf>
    <xf borderId="7" fillId="33" fontId="1" numFmtId="0" xfId="0" applyAlignment="1" applyBorder="1" applyFont="1">
      <alignment horizontal="center" shrinkToFit="0" vertical="center" wrapText="1"/>
    </xf>
    <xf borderId="7" fillId="4" fontId="1" numFmtId="0" xfId="0" applyAlignment="1" applyBorder="1" applyFont="1">
      <alignment horizontal="center" shrinkToFit="0" vertical="center" wrapText="1"/>
    </xf>
    <xf borderId="7" fillId="67" fontId="3" numFmtId="0" xfId="0" applyAlignment="1" applyBorder="1" applyFill="1" applyFont="1">
      <alignment horizontal="center" readingOrder="0" vertical="center"/>
    </xf>
    <xf borderId="7" fillId="68" fontId="1" numFmtId="0" xfId="0" applyAlignment="1" applyBorder="1" applyFill="1" applyFont="1">
      <alignment horizontal="center" shrinkToFit="0" vertical="center" wrapText="1"/>
    </xf>
    <xf borderId="7" fillId="5" fontId="1" numFmtId="165" xfId="0" applyAlignment="1" applyBorder="1" applyFont="1" applyNumberFormat="1">
      <alignment horizontal="center" readingOrder="0" shrinkToFit="0" vertical="center" wrapText="1"/>
    </xf>
    <xf borderId="7" fillId="5" fontId="86" numFmtId="0" xfId="0" applyAlignment="1" applyBorder="1" applyFont="1">
      <alignment horizontal="center" readingOrder="0" shrinkToFit="0" vertical="center" wrapText="1"/>
    </xf>
    <xf borderId="7" fillId="68" fontId="1" numFmtId="0" xfId="0" applyAlignment="1" applyBorder="1" applyFont="1">
      <alignment horizontal="center" readingOrder="0" shrinkToFit="0" vertical="center" wrapText="1"/>
    </xf>
    <xf borderId="7" fillId="0" fontId="63" numFmtId="0" xfId="0" applyAlignment="1" applyBorder="1" applyFont="1">
      <alignment horizontal="center" shrinkToFit="0" vertical="center" wrapText="1"/>
    </xf>
    <xf borderId="7" fillId="0" fontId="4" numFmtId="0" xfId="0" applyAlignment="1" applyBorder="1" applyFont="1">
      <alignment horizontal="center" vertical="center"/>
    </xf>
    <xf borderId="7" fillId="0" fontId="4" numFmtId="0" xfId="0" applyAlignment="1" applyBorder="1" applyFont="1">
      <alignment horizontal="center" shrinkToFit="0" vertical="center" wrapText="1"/>
    </xf>
    <xf borderId="7" fillId="7" fontId="4" numFmtId="0" xfId="0" applyAlignment="1" applyBorder="1" applyFont="1">
      <alignment horizontal="center" vertical="center"/>
    </xf>
    <xf borderId="7" fillId="0" fontId="67" numFmtId="0" xfId="0" applyAlignment="1" applyBorder="1" applyFont="1">
      <alignment horizontal="center" readingOrder="0" shrinkToFit="0" vertical="center" wrapText="1"/>
    </xf>
    <xf borderId="7" fillId="0" fontId="63" numFmtId="0" xfId="0" applyAlignment="1" applyBorder="1" applyFont="1">
      <alignment horizontal="center" readingOrder="0" shrinkToFit="0" vertical="center" wrapText="1"/>
    </xf>
    <xf borderId="7" fillId="10" fontId="4" numFmtId="0" xfId="0" applyAlignment="1" applyBorder="1" applyFont="1">
      <alignment horizontal="center" vertical="center"/>
    </xf>
    <xf borderId="7" fillId="0" fontId="87" numFmtId="0" xfId="0" applyAlignment="1" applyBorder="1" applyFont="1">
      <alignment horizontal="center" shrinkToFit="0" vertical="center" wrapText="1"/>
    </xf>
    <xf borderId="7" fillId="0" fontId="67" numFmtId="0" xfId="0" applyAlignment="1" applyBorder="1" applyFont="1">
      <alignment horizontal="center" shrinkToFit="0" vertical="center" wrapText="1"/>
    </xf>
    <xf borderId="1" fillId="0" fontId="9" numFmtId="0" xfId="0" applyAlignment="1" applyBorder="1" applyFont="1">
      <alignment horizontal="center" readingOrder="0" shrinkToFit="0" vertical="center" wrapText="1"/>
    </xf>
    <xf borderId="7" fillId="7" fontId="4" numFmtId="0" xfId="0" applyAlignment="1" applyBorder="1" applyFont="1">
      <alignment horizontal="center" shrinkToFit="0" vertical="center" wrapText="1"/>
    </xf>
    <xf borderId="7" fillId="0" fontId="1" numFmtId="0" xfId="0" applyAlignment="1" applyBorder="1" applyFont="1">
      <alignment horizontal="center" readingOrder="0" shrinkToFit="0" vertical="center" wrapText="1"/>
    </xf>
    <xf borderId="7" fillId="0" fontId="3" numFmtId="0" xfId="0" applyAlignment="1" applyBorder="1" applyFont="1">
      <alignment horizontal="center" readingOrder="0" shrinkToFit="0" vertical="center" wrapText="1"/>
    </xf>
    <xf borderId="7" fillId="63" fontId="4" numFmtId="0" xfId="0" applyAlignment="1" applyBorder="1" applyFont="1">
      <alignment horizontal="center" shrinkToFit="0" vertical="center" wrapText="1"/>
    </xf>
    <xf borderId="7" fillId="27" fontId="4" numFmtId="0" xfId="0" applyAlignment="1" applyBorder="1" applyFont="1">
      <alignment horizontal="center" shrinkToFit="0" vertical="center" wrapText="1"/>
    </xf>
    <xf borderId="7" fillId="61" fontId="63" numFmtId="0" xfId="0" applyAlignment="1" applyBorder="1" applyFont="1">
      <alignment horizontal="center" shrinkToFit="0" vertical="center" wrapText="1"/>
    </xf>
    <xf borderId="7" fillId="0" fontId="4" numFmtId="0" xfId="0" applyAlignment="1" applyBorder="1" applyFont="1">
      <alignment horizontal="center" readingOrder="0" shrinkToFit="0" vertical="center" wrapText="1"/>
    </xf>
    <xf borderId="7" fillId="61" fontId="4" numFmtId="0" xfId="0" applyAlignment="1" applyBorder="1" applyFont="1">
      <alignment horizontal="center" shrinkToFit="0" vertical="center" wrapText="1"/>
    </xf>
    <xf borderId="7" fillId="0" fontId="7" numFmtId="0" xfId="0" applyAlignment="1" applyBorder="1" applyFont="1">
      <alignment horizontal="center" readingOrder="0" vertical="center"/>
    </xf>
    <xf borderId="7" fillId="0" fontId="61" numFmtId="0" xfId="0" applyAlignment="1" applyBorder="1" applyFont="1">
      <alignment horizontal="center" readingOrder="0" shrinkToFit="0" vertical="center" wrapText="1"/>
    </xf>
    <xf borderId="7" fillId="0" fontId="61" numFmtId="0" xfId="0" applyAlignment="1" applyBorder="1" applyFont="1">
      <alignment horizontal="center" readingOrder="0" vertical="center"/>
    </xf>
    <xf borderId="7" fillId="61" fontId="3" numFmtId="0" xfId="0" applyAlignment="1" applyBorder="1" applyFont="1">
      <alignment horizontal="center" readingOrder="0" vertical="center"/>
    </xf>
    <xf borderId="7" fillId="0" fontId="88" numFmtId="0" xfId="0" applyAlignment="1" applyBorder="1" applyFont="1">
      <alignment horizontal="center" readingOrder="0" shrinkToFit="0" vertical="center" wrapText="1"/>
    </xf>
    <xf borderId="7" fillId="7" fontId="4" numFmtId="0" xfId="0" applyAlignment="1" applyBorder="1" applyFont="1">
      <alignment readingOrder="0"/>
    </xf>
    <xf borderId="7" fillId="0" fontId="1" numFmtId="46" xfId="0" applyAlignment="1" applyBorder="1" applyFont="1" applyNumberFormat="1">
      <alignment horizontal="center" readingOrder="0" shrinkToFit="0" vertical="center" wrapText="1"/>
    </xf>
    <xf borderId="7" fillId="11" fontId="63" numFmtId="0" xfId="0" applyAlignment="1" applyBorder="1" applyFont="1">
      <alignment horizontal="center" vertical="center"/>
    </xf>
    <xf borderId="7" fillId="69" fontId="63" numFmtId="0" xfId="0" applyAlignment="1" applyBorder="1" applyFill="1" applyFont="1">
      <alignment horizontal="center" vertical="center"/>
    </xf>
    <xf borderId="7" fillId="4" fontId="89" numFmtId="0" xfId="0" applyAlignment="1" applyBorder="1" applyFont="1">
      <alignment horizontal="center" readingOrder="0" shrinkToFit="0" vertical="center" wrapText="1"/>
    </xf>
    <xf borderId="7" fillId="4" fontId="1" numFmtId="0" xfId="0" applyAlignment="1" applyBorder="1" applyFont="1">
      <alignment horizontal="center" readingOrder="0" shrinkToFit="0" vertical="center" wrapText="1"/>
    </xf>
    <xf borderId="7" fillId="70" fontId="1" numFmtId="0" xfId="0" applyAlignment="1" applyBorder="1" applyFill="1" applyFont="1">
      <alignment horizontal="center" readingOrder="0" shrinkToFit="0" vertical="center" wrapText="1"/>
    </xf>
    <xf borderId="7" fillId="71" fontId="1" numFmtId="0" xfId="0" applyAlignment="1" applyBorder="1" applyFill="1" applyFont="1">
      <alignment horizontal="center" readingOrder="0" shrinkToFit="0" vertical="center" wrapText="1"/>
    </xf>
    <xf borderId="7" fillId="72" fontId="1" numFmtId="0" xfId="0" applyAlignment="1" applyBorder="1" applyFill="1" applyFont="1">
      <alignment horizontal="center" readingOrder="0" shrinkToFit="0" vertical="center" wrapText="1"/>
    </xf>
    <xf borderId="7" fillId="4" fontId="1" numFmtId="46" xfId="0" applyAlignment="1" applyBorder="1" applyFont="1" applyNumberFormat="1">
      <alignment horizontal="center" readingOrder="0" shrinkToFit="0" vertical="center" wrapText="1"/>
    </xf>
    <xf borderId="7" fillId="27" fontId="3" numFmtId="0" xfId="0" applyAlignment="1" applyBorder="1" applyFont="1">
      <alignment horizontal="center" readingOrder="0" vertical="center"/>
    </xf>
    <xf borderId="7" fillId="7" fontId="3" numFmtId="0" xfId="0" applyAlignment="1" applyBorder="1" applyFont="1">
      <alignment horizontal="center" readingOrder="0" vertical="center"/>
    </xf>
    <xf borderId="7" fillId="7" fontId="3" numFmtId="0" xfId="0" applyAlignment="1" applyBorder="1" applyFont="1">
      <alignment horizontal="center" vertical="center"/>
    </xf>
    <xf borderId="7" fillId="33" fontId="1" numFmtId="0" xfId="0" applyAlignment="1" applyBorder="1" applyFont="1">
      <alignment horizontal="center" readingOrder="0" shrinkToFit="0" vertical="center" wrapText="1"/>
    </xf>
    <xf borderId="7" fillId="4" fontId="1" numFmtId="0" xfId="0" applyAlignment="1" applyBorder="1" applyFont="1">
      <alignment horizontal="center" shrinkToFit="0" vertical="center" wrapText="1"/>
    </xf>
    <xf borderId="7" fillId="0" fontId="4" numFmtId="46" xfId="0" applyAlignment="1" applyBorder="1" applyFont="1" applyNumberFormat="1">
      <alignment horizontal="center" shrinkToFit="0" vertical="center" wrapText="1"/>
    </xf>
  </cellXfs>
  <cellStyles count="1">
    <cellStyle xfId="0" name="Normal" builtinId="0"/>
  </cellStyles>
  <dxfs count="41">
    <dxf>
      <font/>
      <fill>
        <patternFill patternType="solid">
          <fgColor rgb="FFB6D7A8"/>
          <bgColor rgb="FFB6D7A8"/>
        </patternFill>
      </fill>
      <border/>
    </dxf>
    <dxf>
      <font/>
      <fill>
        <patternFill patternType="solid">
          <fgColor rgb="FFCCCCCC"/>
          <bgColor rgb="FFCCCCCC"/>
        </patternFill>
      </fill>
      <border/>
    </dxf>
    <dxf>
      <font/>
      <fill>
        <patternFill patternType="solid">
          <fgColor rgb="FFA4C2F4"/>
          <bgColor rgb="FFA4C2F4"/>
        </patternFill>
      </fill>
      <border/>
    </dxf>
    <dxf>
      <font/>
      <fill>
        <patternFill patternType="solid">
          <fgColor rgb="FF8E7CC3"/>
          <bgColor rgb="FF8E7CC3"/>
        </patternFill>
      </fill>
      <border/>
    </dxf>
    <dxf>
      <font/>
      <fill>
        <patternFill patternType="solid">
          <fgColor rgb="FFFFE599"/>
          <bgColor rgb="FFFFE599"/>
        </patternFill>
      </fill>
      <border/>
    </dxf>
    <dxf>
      <font/>
      <fill>
        <patternFill patternType="solid">
          <fgColor rgb="FFE06666"/>
          <bgColor rgb="FFE06666"/>
        </patternFill>
      </fill>
      <border/>
    </dxf>
    <dxf>
      <font/>
      <fill>
        <patternFill patternType="solid">
          <fgColor rgb="FFCFE2F3"/>
          <bgColor rgb="FFCFE2F3"/>
        </patternFill>
      </fill>
      <border/>
    </dxf>
    <dxf>
      <font/>
      <fill>
        <patternFill patternType="solid">
          <fgColor rgb="FFF9CB9C"/>
          <bgColor rgb="FFF9CB9C"/>
        </patternFill>
      </fill>
      <border/>
    </dxf>
    <dxf>
      <font/>
      <fill>
        <patternFill patternType="solid">
          <fgColor rgb="FFFCE5CD"/>
          <bgColor rgb="FFFCE5CD"/>
        </patternFill>
      </fill>
      <border/>
    </dxf>
    <dxf>
      <font/>
      <fill>
        <patternFill patternType="solid">
          <fgColor rgb="FFCC4125"/>
          <bgColor rgb="FFCC4125"/>
        </patternFill>
      </fill>
      <border/>
    </dxf>
    <dxf>
      <font/>
      <fill>
        <patternFill patternType="solid">
          <fgColor rgb="FFA2C4C9"/>
          <bgColor rgb="FFA2C4C9"/>
        </patternFill>
      </fill>
      <border/>
    </dxf>
    <dxf>
      <font/>
      <fill>
        <patternFill patternType="solid">
          <fgColor rgb="FFE69138"/>
          <bgColor rgb="FFE69138"/>
        </patternFill>
      </fill>
      <border/>
    </dxf>
    <dxf>
      <font/>
      <fill>
        <patternFill patternType="solid">
          <fgColor rgb="FF93C47D"/>
          <bgColor rgb="FF93C47D"/>
        </patternFill>
      </fill>
      <border/>
    </dxf>
    <dxf>
      <font/>
      <fill>
        <patternFill patternType="solid">
          <fgColor rgb="FFB4A7D6"/>
          <bgColor rgb="FFB4A7D6"/>
        </patternFill>
      </fill>
      <border/>
    </dxf>
    <dxf>
      <font/>
      <fill>
        <patternFill patternType="solid">
          <fgColor rgb="FFA64D79"/>
          <bgColor rgb="FFA64D79"/>
        </patternFill>
      </fill>
      <border/>
    </dxf>
    <dxf>
      <font/>
      <fill>
        <patternFill patternType="solid">
          <fgColor rgb="FFB7B7B7"/>
          <bgColor rgb="FFB7B7B7"/>
        </patternFill>
      </fill>
      <border/>
    </dxf>
    <dxf>
      <font/>
      <fill>
        <patternFill patternType="solid">
          <fgColor rgb="FF3D85C6"/>
          <bgColor rgb="FF3D85C6"/>
        </patternFill>
      </fill>
      <border/>
    </dxf>
    <dxf>
      <font/>
      <fill>
        <patternFill patternType="solid">
          <fgColor rgb="FFFFC8FD"/>
          <bgColor rgb="FFFFC8FD"/>
        </patternFill>
      </fill>
      <border/>
    </dxf>
    <dxf>
      <font/>
      <fill>
        <patternFill patternType="solid">
          <fgColor rgb="FFDD73D4"/>
          <bgColor rgb="FFDD73D4"/>
        </patternFill>
      </fill>
      <border/>
    </dxf>
    <dxf>
      <font/>
      <fill>
        <patternFill patternType="solid">
          <fgColor rgb="FF57BB8A"/>
          <bgColor rgb="FF57BB8A"/>
        </patternFill>
      </fill>
      <border/>
    </dxf>
    <dxf>
      <font/>
      <fill>
        <patternFill patternType="solid">
          <fgColor rgb="FFFFD966"/>
          <bgColor rgb="FFFFD966"/>
        </patternFill>
      </fill>
      <border/>
    </dxf>
    <dxf>
      <font/>
      <fill>
        <patternFill patternType="solid">
          <fgColor rgb="FFF6B26B"/>
          <bgColor rgb="FFF6B26B"/>
        </patternFill>
      </fill>
      <border/>
    </dxf>
    <dxf>
      <font/>
      <fill>
        <patternFill patternType="solid">
          <fgColor rgb="FFF17FF3"/>
          <bgColor rgb="FFF17FF3"/>
        </patternFill>
      </fill>
      <border/>
    </dxf>
    <dxf>
      <font/>
      <fill>
        <patternFill patternType="solid">
          <fgColor rgb="FFF3F3F3"/>
          <bgColor rgb="FFF3F3F3"/>
        </patternFill>
      </fill>
      <border/>
    </dxf>
    <dxf>
      <font/>
      <fill>
        <patternFill patternType="solid">
          <fgColor rgb="FF73E4E4"/>
          <bgColor rgb="FF73E4E4"/>
        </patternFill>
      </fill>
      <border/>
    </dxf>
    <dxf>
      <font/>
      <fill>
        <patternFill patternType="solid">
          <fgColor rgb="FFFCB347"/>
          <bgColor rgb="FFFCB347"/>
        </patternFill>
      </fill>
      <border/>
    </dxf>
    <dxf>
      <font/>
      <fill>
        <patternFill patternType="solid">
          <fgColor rgb="FFA5D8CD"/>
          <bgColor rgb="FFA5D8CD"/>
        </patternFill>
      </fill>
      <border/>
    </dxf>
    <dxf>
      <font/>
      <fill>
        <patternFill patternType="solid">
          <fgColor rgb="FF56D5FF"/>
          <bgColor rgb="FF56D5FF"/>
        </patternFill>
      </fill>
      <border/>
    </dxf>
    <dxf>
      <font>
        <color rgb="FFA61C00"/>
      </font>
      <fill>
        <patternFill patternType="solid">
          <fgColor rgb="FF242424"/>
          <bgColor rgb="FF242424"/>
        </patternFill>
      </fill>
      <border/>
    </dxf>
    <dxf>
      <font/>
      <fill>
        <patternFill patternType="solid">
          <fgColor rgb="FF6FA8DC"/>
          <bgColor rgb="FF6FA8DC"/>
        </patternFill>
      </fill>
      <border/>
    </dxf>
    <dxf>
      <font/>
      <fill>
        <patternFill patternType="none"/>
      </fill>
      <border/>
    </dxf>
    <dxf>
      <font/>
      <fill>
        <patternFill patternType="none"/>
      </fill>
      <border/>
    </dxf>
    <dxf>
      <font/>
      <fill>
        <patternFill patternType="solid">
          <fgColor rgb="FFBDBDBD"/>
          <bgColor rgb="FFBDBDBD"/>
        </patternFill>
      </fill>
      <border/>
    </dxf>
    <dxf>
      <font/>
      <fill>
        <patternFill patternType="solid">
          <fgColor rgb="FFFFFFFF"/>
          <bgColor rgb="FFFFFFFF"/>
        </patternFill>
      </fill>
      <border/>
    </dxf>
    <dxf>
      <font/>
      <fill>
        <patternFill patternType="solid">
          <fgColor rgb="FFF3F3F3"/>
          <bgColor rgb="FFF3F3F3"/>
        </patternFill>
      </fill>
      <border/>
    </dxf>
    <dxf>
      <font/>
      <fill>
        <patternFill patternType="solid">
          <fgColor rgb="FFFFD666"/>
          <bgColor rgb="FFFFD666"/>
        </patternFill>
      </fill>
      <border/>
    </dxf>
    <dxf>
      <font/>
      <fill>
        <patternFill patternType="solid">
          <fgColor rgb="FFE67C73"/>
          <bgColor rgb="FFE67C73"/>
        </patternFill>
      </fill>
      <border/>
    </dxf>
    <dxf>
      <font/>
      <fill>
        <patternFill patternType="solid">
          <fgColor rgb="FFFFF2CC"/>
          <bgColor rgb="FFFFF2CC"/>
        </patternFill>
      </fill>
      <border/>
    </dxf>
    <dxf>
      <font/>
      <fill>
        <patternFill patternType="solid">
          <fgColor rgb="FFDD7E6B"/>
          <bgColor rgb="FFDD7E6B"/>
        </patternFill>
      </fill>
      <border/>
    </dxf>
    <dxf>
      <font/>
      <fill>
        <patternFill patternType="solid">
          <fgColor rgb="FF9FC5E8"/>
          <bgColor rgb="FF9FC5E8"/>
        </patternFill>
      </fill>
      <border/>
    </dxf>
    <dxf>
      <font/>
      <fill>
        <patternFill patternType="solid">
          <fgColor rgb="FF6D9EEB"/>
          <bgColor rgb="FF6D9EEB"/>
        </patternFill>
      </fill>
      <border/>
    </dxf>
  </dxfs>
  <tableStyles count="12">
    <tableStyle count="3" pivot="0" name="DD-style">
      <tableStyleElement dxfId="32" type="headerRow"/>
      <tableStyleElement dxfId="33" type="firstRowStripe"/>
      <tableStyleElement dxfId="34" type="secondRowStripe"/>
    </tableStyle>
    <tableStyle count="3" pivot="0" name="CL-style">
      <tableStyleElement dxfId="32" type="headerRow"/>
      <tableStyleElement dxfId="33" type="firstRowStripe"/>
      <tableStyleElement dxfId="34" type="secondRowStripe"/>
    </tableStyle>
    <tableStyle count="3" pivot="0" name="CA-style">
      <tableStyleElement dxfId="32" type="headerRow"/>
      <tableStyleElement dxfId="33" type="firstRowStripe"/>
      <tableStyleElement dxfId="34" type="secondRowStripe"/>
    </tableStyle>
    <tableStyle count="3" pivot="0" name="CACL-style">
      <tableStyleElement dxfId="32" type="headerRow"/>
      <tableStyleElement dxfId="33" type="firstRowStripe"/>
      <tableStyleElement dxfId="34" type="secondRowStripe"/>
    </tableStyle>
    <tableStyle count="3" pivot="0" name="BBBCBMBBV-style">
      <tableStyleElement dxfId="32" type="headerRow"/>
      <tableStyleElement dxfId="33" type="firstRowStripe"/>
      <tableStyleElement dxfId="34" type="secondRowStripe"/>
    </tableStyle>
    <tableStyle count="3" pivot="0" name="CVCVLBBV-style">
      <tableStyleElement dxfId="32" type="headerRow"/>
      <tableStyleElement dxfId="33" type="firstRowStripe"/>
      <tableStyleElement dxfId="34" type="secondRowStripe"/>
    </tableStyle>
    <tableStyle count="3" pivot="0" name="ARAE-style">
      <tableStyleElement dxfId="32" type="headerRow"/>
      <tableStyleElement dxfId="33" type="firstRowStripe"/>
      <tableStyleElement dxfId="34" type="secondRowStripe"/>
    </tableStyle>
    <tableStyle count="3" pivot="0" name="SS-style">
      <tableStyleElement dxfId="32" type="headerRow"/>
      <tableStyleElement dxfId="33" type="firstRowStripe"/>
      <tableStyleElement dxfId="34" type="secondRowStripe"/>
    </tableStyle>
    <tableStyle count="3" pivot="0" name="AA Guns-style">
      <tableStyleElement dxfId="32" type="headerRow"/>
      <tableStyleElement dxfId="33" type="firstRowStripe"/>
      <tableStyleElement dxfId="34" type="secondRowStripe"/>
    </tableStyle>
    <tableStyle count="3" pivot="0" name="Aux Gear-style">
      <tableStyleElement dxfId="32" type="headerRow"/>
      <tableStyleElement dxfId="33" type="firstRowStripe"/>
      <tableStyleElement dxfId="34" type="secondRowStripe"/>
    </tableStyle>
    <tableStyle count="3" pivot="0" name="ASW Gear-style">
      <tableStyleElement dxfId="32" type="headerRow"/>
      <tableStyleElement dxfId="33" type="firstRowStripe"/>
      <tableStyleElement dxfId="34" type="secondRowStripe"/>
    </tableStyle>
    <tableStyle count="3" pivot="0" name="Meowfficers-style">
      <tableStyleElement dxfId="32" type="headerRow"/>
      <tableStyleElement dxfId="33" type="firstRowStripe"/>
      <tableStyleElement dxfId="34" type="secondRowStripe"/>
    </tableStyle>
  </tableStyles>
</styleSheet>
</file>

<file path=xl/_rels/workbook.xml.rels><?xml version="1.0" encoding="UTF-8" standalone="yes"?><Relationships xmlns="http://schemas.openxmlformats.org/package/2006/relationships"><Relationship Id="rId11" Type="http://schemas.openxmlformats.org/officeDocument/2006/relationships/worksheet" Target="worksheets/sheet9.xml"/><Relationship Id="rId10" Type="http://schemas.openxmlformats.org/officeDocument/2006/relationships/worksheet" Target="worksheets/sheet8.xml"/><Relationship Id="rId13" Type="http://schemas.openxmlformats.org/officeDocument/2006/relationships/worksheet" Target="worksheets/sheet11.xml"/><Relationship Id="rId12" Type="http://schemas.openxmlformats.org/officeDocument/2006/relationships/worksheet" Target="worksheets/sheet10.xml"/><Relationship Id="rId15" Type="http://schemas.openxmlformats.org/officeDocument/2006/relationships/worksheet" Target="worksheets/sheet13.xml"/><Relationship Id="rId14" Type="http://schemas.openxmlformats.org/officeDocument/2006/relationships/worksheet" Target="worksheets/sheet12.xml"/><Relationship Id="rId17" Type="http://schemas.openxmlformats.org/officeDocument/2006/relationships/worksheet" Target="worksheets/sheet15.xml"/><Relationship Id="rId16" Type="http://schemas.openxmlformats.org/officeDocument/2006/relationships/worksheet" Target="worksheets/sheet14.xml"/><Relationship Id="rId18" Type="http://schemas.openxmlformats.org/officeDocument/2006/relationships/worksheet" Target="worksheets/sheet16.xml"/><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s>
</file>

<file path=xl/drawings/_rels/drawing11.xml.rels><?xml version="1.0" encoding="UTF-8" standalone="yes"?><Relationships xmlns="http://schemas.openxmlformats.org/package/2006/relationships"><Relationship Id="rId40" Type="http://schemas.openxmlformats.org/officeDocument/2006/relationships/image" Target="../media/image37.png"/><Relationship Id="rId42" Type="http://schemas.openxmlformats.org/officeDocument/2006/relationships/image" Target="../media/image36.png"/><Relationship Id="rId41" Type="http://schemas.openxmlformats.org/officeDocument/2006/relationships/image" Target="../media/image152.png"/><Relationship Id="rId44" Type="http://schemas.openxmlformats.org/officeDocument/2006/relationships/image" Target="../media/image44.png"/><Relationship Id="rId43" Type="http://schemas.openxmlformats.org/officeDocument/2006/relationships/image" Target="../media/image33.png"/><Relationship Id="rId46" Type="http://schemas.openxmlformats.org/officeDocument/2006/relationships/image" Target="../media/image51.png"/><Relationship Id="rId45" Type="http://schemas.openxmlformats.org/officeDocument/2006/relationships/image" Target="../media/image53.png"/><Relationship Id="rId107" Type="http://schemas.openxmlformats.org/officeDocument/2006/relationships/image" Target="../media/image110.png"/><Relationship Id="rId106" Type="http://schemas.openxmlformats.org/officeDocument/2006/relationships/image" Target="../media/image98.png"/><Relationship Id="rId105" Type="http://schemas.openxmlformats.org/officeDocument/2006/relationships/image" Target="../media/image104.png"/><Relationship Id="rId104" Type="http://schemas.openxmlformats.org/officeDocument/2006/relationships/image" Target="../media/image102.png"/><Relationship Id="rId109" Type="http://schemas.openxmlformats.org/officeDocument/2006/relationships/image" Target="../media/image105.png"/><Relationship Id="rId108" Type="http://schemas.openxmlformats.org/officeDocument/2006/relationships/image" Target="../media/image101.png"/><Relationship Id="rId48" Type="http://schemas.openxmlformats.org/officeDocument/2006/relationships/image" Target="../media/image41.png"/><Relationship Id="rId47" Type="http://schemas.openxmlformats.org/officeDocument/2006/relationships/image" Target="../media/image45.png"/><Relationship Id="rId49" Type="http://schemas.openxmlformats.org/officeDocument/2006/relationships/image" Target="../media/image43.png"/><Relationship Id="rId103" Type="http://schemas.openxmlformats.org/officeDocument/2006/relationships/image" Target="../media/image94.png"/><Relationship Id="rId102" Type="http://schemas.openxmlformats.org/officeDocument/2006/relationships/image" Target="../media/image91.png"/><Relationship Id="rId101" Type="http://schemas.openxmlformats.org/officeDocument/2006/relationships/image" Target="../media/image97.png"/><Relationship Id="rId100" Type="http://schemas.openxmlformats.org/officeDocument/2006/relationships/image" Target="../media/image87.png"/><Relationship Id="rId31" Type="http://schemas.openxmlformats.org/officeDocument/2006/relationships/image" Target="../media/image27.png"/><Relationship Id="rId30" Type="http://schemas.openxmlformats.org/officeDocument/2006/relationships/image" Target="../media/image42.png"/><Relationship Id="rId33" Type="http://schemas.openxmlformats.org/officeDocument/2006/relationships/image" Target="../media/image34.png"/><Relationship Id="rId32" Type="http://schemas.openxmlformats.org/officeDocument/2006/relationships/image" Target="../media/image31.png"/><Relationship Id="rId35" Type="http://schemas.openxmlformats.org/officeDocument/2006/relationships/image" Target="../media/image32.png"/><Relationship Id="rId34" Type="http://schemas.openxmlformats.org/officeDocument/2006/relationships/image" Target="../media/image162.png"/><Relationship Id="rId37" Type="http://schemas.openxmlformats.org/officeDocument/2006/relationships/image" Target="../media/image39.png"/><Relationship Id="rId176" Type="http://schemas.openxmlformats.org/officeDocument/2006/relationships/image" Target="../media/image177.png"/><Relationship Id="rId36" Type="http://schemas.openxmlformats.org/officeDocument/2006/relationships/image" Target="../media/image38.png"/><Relationship Id="rId175" Type="http://schemas.openxmlformats.org/officeDocument/2006/relationships/image" Target="../media/image172.png"/><Relationship Id="rId39" Type="http://schemas.openxmlformats.org/officeDocument/2006/relationships/image" Target="../media/image40.png"/><Relationship Id="rId174" Type="http://schemas.openxmlformats.org/officeDocument/2006/relationships/image" Target="../media/image174.png"/><Relationship Id="rId38" Type="http://schemas.openxmlformats.org/officeDocument/2006/relationships/image" Target="../media/image35.png"/><Relationship Id="rId173" Type="http://schemas.openxmlformats.org/officeDocument/2006/relationships/image" Target="../media/image173.png"/><Relationship Id="rId178" Type="http://schemas.openxmlformats.org/officeDocument/2006/relationships/image" Target="../media/image176.png"/><Relationship Id="rId177" Type="http://schemas.openxmlformats.org/officeDocument/2006/relationships/image" Target="../media/image184.png"/><Relationship Id="rId20" Type="http://schemas.openxmlformats.org/officeDocument/2006/relationships/image" Target="../media/image7.png"/><Relationship Id="rId22" Type="http://schemas.openxmlformats.org/officeDocument/2006/relationships/image" Target="../media/image5.png"/><Relationship Id="rId21" Type="http://schemas.openxmlformats.org/officeDocument/2006/relationships/image" Target="../media/image8.png"/><Relationship Id="rId24" Type="http://schemas.openxmlformats.org/officeDocument/2006/relationships/image" Target="../media/image28.png"/><Relationship Id="rId23" Type="http://schemas.openxmlformats.org/officeDocument/2006/relationships/image" Target="../media/image10.png"/><Relationship Id="rId129" Type="http://schemas.openxmlformats.org/officeDocument/2006/relationships/image" Target="../media/image126.png"/><Relationship Id="rId128" Type="http://schemas.openxmlformats.org/officeDocument/2006/relationships/image" Target="../media/image123.png"/><Relationship Id="rId127" Type="http://schemas.openxmlformats.org/officeDocument/2006/relationships/image" Target="../media/image125.png"/><Relationship Id="rId126" Type="http://schemas.openxmlformats.org/officeDocument/2006/relationships/image" Target="../media/image128.png"/><Relationship Id="rId26" Type="http://schemas.openxmlformats.org/officeDocument/2006/relationships/image" Target="../media/image29.png"/><Relationship Id="rId121" Type="http://schemas.openxmlformats.org/officeDocument/2006/relationships/image" Target="../media/image127.png"/><Relationship Id="rId25" Type="http://schemas.openxmlformats.org/officeDocument/2006/relationships/image" Target="../media/image13.png"/><Relationship Id="rId120" Type="http://schemas.openxmlformats.org/officeDocument/2006/relationships/image" Target="../media/image116.png"/><Relationship Id="rId28" Type="http://schemas.openxmlformats.org/officeDocument/2006/relationships/image" Target="../media/image26.png"/><Relationship Id="rId27" Type="http://schemas.openxmlformats.org/officeDocument/2006/relationships/image" Target="../media/image25.png"/><Relationship Id="rId125" Type="http://schemas.openxmlformats.org/officeDocument/2006/relationships/image" Target="../media/image120.png"/><Relationship Id="rId29" Type="http://schemas.openxmlformats.org/officeDocument/2006/relationships/image" Target="../media/image30.png"/><Relationship Id="rId124" Type="http://schemas.openxmlformats.org/officeDocument/2006/relationships/image" Target="../media/image121.png"/><Relationship Id="rId123" Type="http://schemas.openxmlformats.org/officeDocument/2006/relationships/image" Target="../media/image122.png"/><Relationship Id="rId122" Type="http://schemas.openxmlformats.org/officeDocument/2006/relationships/image" Target="../media/image119.png"/><Relationship Id="rId95" Type="http://schemas.openxmlformats.org/officeDocument/2006/relationships/image" Target="../media/image90.png"/><Relationship Id="rId94" Type="http://schemas.openxmlformats.org/officeDocument/2006/relationships/image" Target="../media/image99.png"/><Relationship Id="rId97" Type="http://schemas.openxmlformats.org/officeDocument/2006/relationships/image" Target="../media/image93.png"/><Relationship Id="rId96" Type="http://schemas.openxmlformats.org/officeDocument/2006/relationships/image" Target="../media/image103.png"/><Relationship Id="rId11" Type="http://schemas.openxmlformats.org/officeDocument/2006/relationships/image" Target="../media/image18.png"/><Relationship Id="rId99" Type="http://schemas.openxmlformats.org/officeDocument/2006/relationships/image" Target="../media/image106.png"/><Relationship Id="rId10" Type="http://schemas.openxmlformats.org/officeDocument/2006/relationships/image" Target="../media/image1.png"/><Relationship Id="rId98" Type="http://schemas.openxmlformats.org/officeDocument/2006/relationships/image" Target="../media/image95.png"/><Relationship Id="rId13" Type="http://schemas.openxmlformats.org/officeDocument/2006/relationships/image" Target="../media/image24.png"/><Relationship Id="rId12" Type="http://schemas.openxmlformats.org/officeDocument/2006/relationships/image" Target="../media/image3.png"/><Relationship Id="rId91" Type="http://schemas.openxmlformats.org/officeDocument/2006/relationships/image" Target="../media/image107.png"/><Relationship Id="rId90" Type="http://schemas.openxmlformats.org/officeDocument/2006/relationships/image" Target="../media/image88.png"/><Relationship Id="rId93" Type="http://schemas.openxmlformats.org/officeDocument/2006/relationships/image" Target="../media/image96.png"/><Relationship Id="rId92" Type="http://schemas.openxmlformats.org/officeDocument/2006/relationships/image" Target="../media/image92.png"/><Relationship Id="rId118" Type="http://schemas.openxmlformats.org/officeDocument/2006/relationships/image" Target="../media/image112.png"/><Relationship Id="rId117" Type="http://schemas.openxmlformats.org/officeDocument/2006/relationships/image" Target="../media/image117.png"/><Relationship Id="rId116" Type="http://schemas.openxmlformats.org/officeDocument/2006/relationships/image" Target="../media/image113.png"/><Relationship Id="rId115" Type="http://schemas.openxmlformats.org/officeDocument/2006/relationships/image" Target="../media/image115.png"/><Relationship Id="rId119" Type="http://schemas.openxmlformats.org/officeDocument/2006/relationships/image" Target="../media/image114.png"/><Relationship Id="rId15" Type="http://schemas.openxmlformats.org/officeDocument/2006/relationships/image" Target="../media/image11.png"/><Relationship Id="rId110" Type="http://schemas.openxmlformats.org/officeDocument/2006/relationships/image" Target="../media/image100.png"/><Relationship Id="rId14" Type="http://schemas.openxmlformats.org/officeDocument/2006/relationships/image" Target="../media/image4.png"/><Relationship Id="rId17" Type="http://schemas.openxmlformats.org/officeDocument/2006/relationships/image" Target="../media/image12.png"/><Relationship Id="rId16" Type="http://schemas.openxmlformats.org/officeDocument/2006/relationships/image" Target="../media/image15.png"/><Relationship Id="rId19" Type="http://schemas.openxmlformats.org/officeDocument/2006/relationships/image" Target="../media/image22.png"/><Relationship Id="rId114" Type="http://schemas.openxmlformats.org/officeDocument/2006/relationships/image" Target="../media/image109.png"/><Relationship Id="rId18" Type="http://schemas.openxmlformats.org/officeDocument/2006/relationships/image" Target="../media/image19.png"/><Relationship Id="rId113" Type="http://schemas.openxmlformats.org/officeDocument/2006/relationships/image" Target="../media/image118.png"/><Relationship Id="rId112" Type="http://schemas.openxmlformats.org/officeDocument/2006/relationships/image" Target="../media/image108.png"/><Relationship Id="rId111" Type="http://schemas.openxmlformats.org/officeDocument/2006/relationships/image" Target="../media/image111.png"/><Relationship Id="rId84" Type="http://schemas.openxmlformats.org/officeDocument/2006/relationships/image" Target="../media/image78.png"/><Relationship Id="rId83" Type="http://schemas.openxmlformats.org/officeDocument/2006/relationships/image" Target="../media/image76.png"/><Relationship Id="rId86" Type="http://schemas.openxmlformats.org/officeDocument/2006/relationships/image" Target="../media/image85.png"/><Relationship Id="rId85" Type="http://schemas.openxmlformats.org/officeDocument/2006/relationships/image" Target="../media/image82.png"/><Relationship Id="rId88" Type="http://schemas.openxmlformats.org/officeDocument/2006/relationships/image" Target="../media/image89.png"/><Relationship Id="rId150" Type="http://schemas.openxmlformats.org/officeDocument/2006/relationships/image" Target="../media/image145.png"/><Relationship Id="rId87" Type="http://schemas.openxmlformats.org/officeDocument/2006/relationships/image" Target="../media/image86.png"/><Relationship Id="rId89" Type="http://schemas.openxmlformats.org/officeDocument/2006/relationships/image" Target="../media/image84.png"/><Relationship Id="rId80" Type="http://schemas.openxmlformats.org/officeDocument/2006/relationships/image" Target="../media/image75.png"/><Relationship Id="rId82" Type="http://schemas.openxmlformats.org/officeDocument/2006/relationships/image" Target="../media/image72.png"/><Relationship Id="rId81" Type="http://schemas.openxmlformats.org/officeDocument/2006/relationships/image" Target="../media/image69.png"/><Relationship Id="rId1" Type="http://schemas.openxmlformats.org/officeDocument/2006/relationships/image" Target="../media/image2.png"/><Relationship Id="rId2" Type="http://schemas.openxmlformats.org/officeDocument/2006/relationships/image" Target="../media/image17.png"/><Relationship Id="rId3" Type="http://schemas.openxmlformats.org/officeDocument/2006/relationships/image" Target="../media/image20.png"/><Relationship Id="rId149" Type="http://schemas.openxmlformats.org/officeDocument/2006/relationships/image" Target="../media/image146.png"/><Relationship Id="rId4" Type="http://schemas.openxmlformats.org/officeDocument/2006/relationships/image" Target="../media/image16.png"/><Relationship Id="rId148" Type="http://schemas.openxmlformats.org/officeDocument/2006/relationships/image" Target="../media/image138.png"/><Relationship Id="rId9" Type="http://schemas.openxmlformats.org/officeDocument/2006/relationships/image" Target="../media/image21.png"/><Relationship Id="rId143" Type="http://schemas.openxmlformats.org/officeDocument/2006/relationships/image" Target="../media/image135.png"/><Relationship Id="rId142" Type="http://schemas.openxmlformats.org/officeDocument/2006/relationships/image" Target="../media/image134.png"/><Relationship Id="rId141" Type="http://schemas.openxmlformats.org/officeDocument/2006/relationships/image" Target="../media/image139.png"/><Relationship Id="rId140" Type="http://schemas.openxmlformats.org/officeDocument/2006/relationships/image" Target="../media/image132.png"/><Relationship Id="rId5" Type="http://schemas.openxmlformats.org/officeDocument/2006/relationships/image" Target="../media/image14.png"/><Relationship Id="rId147" Type="http://schemas.openxmlformats.org/officeDocument/2006/relationships/image" Target="../media/image140.png"/><Relationship Id="rId6" Type="http://schemas.openxmlformats.org/officeDocument/2006/relationships/image" Target="../media/image6.png"/><Relationship Id="rId146" Type="http://schemas.openxmlformats.org/officeDocument/2006/relationships/image" Target="../media/image141.png"/><Relationship Id="rId7" Type="http://schemas.openxmlformats.org/officeDocument/2006/relationships/image" Target="../media/image9.png"/><Relationship Id="rId145" Type="http://schemas.openxmlformats.org/officeDocument/2006/relationships/image" Target="../media/image143.png"/><Relationship Id="rId8" Type="http://schemas.openxmlformats.org/officeDocument/2006/relationships/image" Target="../media/image23.png"/><Relationship Id="rId144" Type="http://schemas.openxmlformats.org/officeDocument/2006/relationships/image" Target="../media/image136.png"/><Relationship Id="rId73" Type="http://schemas.openxmlformats.org/officeDocument/2006/relationships/image" Target="../media/image79.png"/><Relationship Id="rId72" Type="http://schemas.openxmlformats.org/officeDocument/2006/relationships/image" Target="../media/image73.png"/><Relationship Id="rId75" Type="http://schemas.openxmlformats.org/officeDocument/2006/relationships/image" Target="../media/image83.png"/><Relationship Id="rId74" Type="http://schemas.openxmlformats.org/officeDocument/2006/relationships/image" Target="../media/image77.png"/><Relationship Id="rId77" Type="http://schemas.openxmlformats.org/officeDocument/2006/relationships/image" Target="../media/image74.png"/><Relationship Id="rId76" Type="http://schemas.openxmlformats.org/officeDocument/2006/relationships/image" Target="../media/image70.png"/><Relationship Id="rId79" Type="http://schemas.openxmlformats.org/officeDocument/2006/relationships/image" Target="../media/image81.png"/><Relationship Id="rId78" Type="http://schemas.openxmlformats.org/officeDocument/2006/relationships/image" Target="../media/image71.png"/><Relationship Id="rId71" Type="http://schemas.openxmlformats.org/officeDocument/2006/relationships/image" Target="../media/image80.png"/><Relationship Id="rId70" Type="http://schemas.openxmlformats.org/officeDocument/2006/relationships/image" Target="../media/image68.png"/><Relationship Id="rId139" Type="http://schemas.openxmlformats.org/officeDocument/2006/relationships/image" Target="../media/image142.png"/><Relationship Id="rId138" Type="http://schemas.openxmlformats.org/officeDocument/2006/relationships/image" Target="../media/image144.png"/><Relationship Id="rId137" Type="http://schemas.openxmlformats.org/officeDocument/2006/relationships/image" Target="../media/image171.png"/><Relationship Id="rId132" Type="http://schemas.openxmlformats.org/officeDocument/2006/relationships/image" Target="../media/image129.png"/><Relationship Id="rId131" Type="http://schemas.openxmlformats.org/officeDocument/2006/relationships/image" Target="../media/image130.png"/><Relationship Id="rId130" Type="http://schemas.openxmlformats.org/officeDocument/2006/relationships/image" Target="../media/image124.png"/><Relationship Id="rId136" Type="http://schemas.openxmlformats.org/officeDocument/2006/relationships/image" Target="../media/image137.png"/><Relationship Id="rId135" Type="http://schemas.openxmlformats.org/officeDocument/2006/relationships/image" Target="../media/image248.png"/><Relationship Id="rId134" Type="http://schemas.openxmlformats.org/officeDocument/2006/relationships/image" Target="../media/image131.png"/><Relationship Id="rId133" Type="http://schemas.openxmlformats.org/officeDocument/2006/relationships/image" Target="../media/image133.png"/><Relationship Id="rId62" Type="http://schemas.openxmlformats.org/officeDocument/2006/relationships/image" Target="../media/image63.png"/><Relationship Id="rId61" Type="http://schemas.openxmlformats.org/officeDocument/2006/relationships/image" Target="../media/image54.png"/><Relationship Id="rId64" Type="http://schemas.openxmlformats.org/officeDocument/2006/relationships/image" Target="../media/image56.png"/><Relationship Id="rId63" Type="http://schemas.openxmlformats.org/officeDocument/2006/relationships/image" Target="../media/image60.png"/><Relationship Id="rId66" Type="http://schemas.openxmlformats.org/officeDocument/2006/relationships/image" Target="../media/image58.png"/><Relationship Id="rId172" Type="http://schemas.openxmlformats.org/officeDocument/2006/relationships/image" Target="../media/image178.png"/><Relationship Id="rId65" Type="http://schemas.openxmlformats.org/officeDocument/2006/relationships/image" Target="../media/image64.png"/><Relationship Id="rId171" Type="http://schemas.openxmlformats.org/officeDocument/2006/relationships/image" Target="../media/image165.png"/><Relationship Id="rId68" Type="http://schemas.openxmlformats.org/officeDocument/2006/relationships/image" Target="../media/image66.png"/><Relationship Id="rId170" Type="http://schemas.openxmlformats.org/officeDocument/2006/relationships/image" Target="../media/image167.png"/><Relationship Id="rId67" Type="http://schemas.openxmlformats.org/officeDocument/2006/relationships/image" Target="../media/image67.png"/><Relationship Id="rId60" Type="http://schemas.openxmlformats.org/officeDocument/2006/relationships/image" Target="../media/image62.png"/><Relationship Id="rId165" Type="http://schemas.openxmlformats.org/officeDocument/2006/relationships/image" Target="../media/image164.png"/><Relationship Id="rId69" Type="http://schemas.openxmlformats.org/officeDocument/2006/relationships/image" Target="../media/image65.png"/><Relationship Id="rId164" Type="http://schemas.openxmlformats.org/officeDocument/2006/relationships/image" Target="../media/image154.png"/><Relationship Id="rId163" Type="http://schemas.openxmlformats.org/officeDocument/2006/relationships/image" Target="../media/image160.png"/><Relationship Id="rId162" Type="http://schemas.openxmlformats.org/officeDocument/2006/relationships/image" Target="../media/image156.png"/><Relationship Id="rId169" Type="http://schemas.openxmlformats.org/officeDocument/2006/relationships/image" Target="../media/image169.png"/><Relationship Id="rId168" Type="http://schemas.openxmlformats.org/officeDocument/2006/relationships/image" Target="../media/image166.png"/><Relationship Id="rId167" Type="http://schemas.openxmlformats.org/officeDocument/2006/relationships/image" Target="../media/image168.png"/><Relationship Id="rId166" Type="http://schemas.openxmlformats.org/officeDocument/2006/relationships/image" Target="../media/image161.png"/><Relationship Id="rId51" Type="http://schemas.openxmlformats.org/officeDocument/2006/relationships/image" Target="../media/image48.png"/><Relationship Id="rId50" Type="http://schemas.openxmlformats.org/officeDocument/2006/relationships/image" Target="../media/image50.png"/><Relationship Id="rId53" Type="http://schemas.openxmlformats.org/officeDocument/2006/relationships/image" Target="../media/image49.png"/><Relationship Id="rId52" Type="http://schemas.openxmlformats.org/officeDocument/2006/relationships/image" Target="../media/image52.png"/><Relationship Id="rId55" Type="http://schemas.openxmlformats.org/officeDocument/2006/relationships/image" Target="../media/image46.png"/><Relationship Id="rId161" Type="http://schemas.openxmlformats.org/officeDocument/2006/relationships/image" Target="../media/image157.png"/><Relationship Id="rId54" Type="http://schemas.openxmlformats.org/officeDocument/2006/relationships/image" Target="../media/image55.png"/><Relationship Id="rId160" Type="http://schemas.openxmlformats.org/officeDocument/2006/relationships/image" Target="../media/image163.png"/><Relationship Id="rId57" Type="http://schemas.openxmlformats.org/officeDocument/2006/relationships/image" Target="../media/image47.png"/><Relationship Id="rId56" Type="http://schemas.openxmlformats.org/officeDocument/2006/relationships/image" Target="../media/image61.png"/><Relationship Id="rId159" Type="http://schemas.openxmlformats.org/officeDocument/2006/relationships/image" Target="../media/image151.png"/><Relationship Id="rId59" Type="http://schemas.openxmlformats.org/officeDocument/2006/relationships/image" Target="../media/image57.png"/><Relationship Id="rId154" Type="http://schemas.openxmlformats.org/officeDocument/2006/relationships/image" Target="../media/image153.png"/><Relationship Id="rId58" Type="http://schemas.openxmlformats.org/officeDocument/2006/relationships/image" Target="../media/image59.png"/><Relationship Id="rId153" Type="http://schemas.openxmlformats.org/officeDocument/2006/relationships/image" Target="../media/image149.png"/><Relationship Id="rId152" Type="http://schemas.openxmlformats.org/officeDocument/2006/relationships/image" Target="../media/image148.png"/><Relationship Id="rId151" Type="http://schemas.openxmlformats.org/officeDocument/2006/relationships/image" Target="../media/image155.png"/><Relationship Id="rId158" Type="http://schemas.openxmlformats.org/officeDocument/2006/relationships/image" Target="../media/image158.png"/><Relationship Id="rId157" Type="http://schemas.openxmlformats.org/officeDocument/2006/relationships/image" Target="../media/image159.png"/><Relationship Id="rId156" Type="http://schemas.openxmlformats.org/officeDocument/2006/relationships/image" Target="../media/image147.png"/><Relationship Id="rId155" Type="http://schemas.openxmlformats.org/officeDocument/2006/relationships/image" Target="../media/image150.png"/></Relationships>
</file>

<file path=xl/drawings/_rels/drawing12.xml.rels><?xml version="1.0" encoding="UTF-8" standalone="yes"?><Relationships xmlns="http://schemas.openxmlformats.org/package/2006/relationships"><Relationship Id="rId40" Type="http://schemas.openxmlformats.org/officeDocument/2006/relationships/image" Target="../media/image219.png"/><Relationship Id="rId42" Type="http://schemas.openxmlformats.org/officeDocument/2006/relationships/image" Target="../media/image220.png"/><Relationship Id="rId41" Type="http://schemas.openxmlformats.org/officeDocument/2006/relationships/image" Target="../media/image216.png"/><Relationship Id="rId44" Type="http://schemas.openxmlformats.org/officeDocument/2006/relationships/image" Target="../media/image218.png"/><Relationship Id="rId43" Type="http://schemas.openxmlformats.org/officeDocument/2006/relationships/image" Target="../media/image223.png"/><Relationship Id="rId46" Type="http://schemas.openxmlformats.org/officeDocument/2006/relationships/image" Target="../media/image217.png"/><Relationship Id="rId45" Type="http://schemas.openxmlformats.org/officeDocument/2006/relationships/image" Target="../media/image224.png"/><Relationship Id="rId48" Type="http://schemas.openxmlformats.org/officeDocument/2006/relationships/image" Target="../media/image233.png"/><Relationship Id="rId47" Type="http://schemas.openxmlformats.org/officeDocument/2006/relationships/image" Target="../media/image225.png"/><Relationship Id="rId49" Type="http://schemas.openxmlformats.org/officeDocument/2006/relationships/image" Target="../media/image229.png"/><Relationship Id="rId31" Type="http://schemas.openxmlformats.org/officeDocument/2006/relationships/image" Target="../media/image212.png"/><Relationship Id="rId30" Type="http://schemas.openxmlformats.org/officeDocument/2006/relationships/image" Target="../media/image211.png"/><Relationship Id="rId33" Type="http://schemas.openxmlformats.org/officeDocument/2006/relationships/image" Target="../media/image207.png"/><Relationship Id="rId32" Type="http://schemas.openxmlformats.org/officeDocument/2006/relationships/image" Target="../media/image210.png"/><Relationship Id="rId35" Type="http://schemas.openxmlformats.org/officeDocument/2006/relationships/image" Target="../media/image209.png"/><Relationship Id="rId34" Type="http://schemas.openxmlformats.org/officeDocument/2006/relationships/image" Target="../media/image204.png"/><Relationship Id="rId37" Type="http://schemas.openxmlformats.org/officeDocument/2006/relationships/image" Target="../media/image213.png"/><Relationship Id="rId36" Type="http://schemas.openxmlformats.org/officeDocument/2006/relationships/image" Target="../media/image215.png"/><Relationship Id="rId39" Type="http://schemas.openxmlformats.org/officeDocument/2006/relationships/image" Target="../media/image208.png"/><Relationship Id="rId38" Type="http://schemas.openxmlformats.org/officeDocument/2006/relationships/image" Target="../media/image214.png"/><Relationship Id="rId20" Type="http://schemas.openxmlformats.org/officeDocument/2006/relationships/image" Target="../media/image199.png"/><Relationship Id="rId22" Type="http://schemas.openxmlformats.org/officeDocument/2006/relationships/image" Target="../media/image195.png"/><Relationship Id="rId21" Type="http://schemas.openxmlformats.org/officeDocument/2006/relationships/image" Target="../media/image191.png"/><Relationship Id="rId24" Type="http://schemas.openxmlformats.org/officeDocument/2006/relationships/image" Target="../media/image205.png"/><Relationship Id="rId23" Type="http://schemas.openxmlformats.org/officeDocument/2006/relationships/image" Target="../media/image200.png"/><Relationship Id="rId26" Type="http://schemas.openxmlformats.org/officeDocument/2006/relationships/image" Target="../media/image202.png"/><Relationship Id="rId25" Type="http://schemas.openxmlformats.org/officeDocument/2006/relationships/image" Target="../media/image198.png"/><Relationship Id="rId28" Type="http://schemas.openxmlformats.org/officeDocument/2006/relationships/image" Target="../media/image201.png"/><Relationship Id="rId27" Type="http://schemas.openxmlformats.org/officeDocument/2006/relationships/image" Target="../media/image206.png"/><Relationship Id="rId29" Type="http://schemas.openxmlformats.org/officeDocument/2006/relationships/image" Target="../media/image396.png"/><Relationship Id="rId11" Type="http://schemas.openxmlformats.org/officeDocument/2006/relationships/image" Target="../media/image183.png"/><Relationship Id="rId10" Type="http://schemas.openxmlformats.org/officeDocument/2006/relationships/image" Target="../media/image186.png"/><Relationship Id="rId13" Type="http://schemas.openxmlformats.org/officeDocument/2006/relationships/image" Target="../media/image189.png"/><Relationship Id="rId12" Type="http://schemas.openxmlformats.org/officeDocument/2006/relationships/image" Target="../media/image188.png"/><Relationship Id="rId15" Type="http://schemas.openxmlformats.org/officeDocument/2006/relationships/image" Target="../media/image190.png"/><Relationship Id="rId14" Type="http://schemas.openxmlformats.org/officeDocument/2006/relationships/image" Target="../media/image187.png"/><Relationship Id="rId17" Type="http://schemas.openxmlformats.org/officeDocument/2006/relationships/image" Target="../media/image196.png"/><Relationship Id="rId16" Type="http://schemas.openxmlformats.org/officeDocument/2006/relationships/image" Target="../media/image192.png"/><Relationship Id="rId19" Type="http://schemas.openxmlformats.org/officeDocument/2006/relationships/image" Target="../media/image182.png"/><Relationship Id="rId18" Type="http://schemas.openxmlformats.org/officeDocument/2006/relationships/image" Target="../media/image197.png"/><Relationship Id="rId83" Type="http://schemas.openxmlformats.org/officeDocument/2006/relationships/image" Target="../media/image253.png"/><Relationship Id="rId80" Type="http://schemas.openxmlformats.org/officeDocument/2006/relationships/image" Target="../media/image252.png"/><Relationship Id="rId82" Type="http://schemas.openxmlformats.org/officeDocument/2006/relationships/image" Target="../media/image270.png"/><Relationship Id="rId81" Type="http://schemas.openxmlformats.org/officeDocument/2006/relationships/image" Target="../media/image259.png"/><Relationship Id="rId1" Type="http://schemas.openxmlformats.org/officeDocument/2006/relationships/image" Target="../media/image181.png"/><Relationship Id="rId2" Type="http://schemas.openxmlformats.org/officeDocument/2006/relationships/image" Target="../media/image170.png"/><Relationship Id="rId3" Type="http://schemas.openxmlformats.org/officeDocument/2006/relationships/image" Target="../media/image180.png"/><Relationship Id="rId4" Type="http://schemas.openxmlformats.org/officeDocument/2006/relationships/image" Target="../media/image194.png"/><Relationship Id="rId9" Type="http://schemas.openxmlformats.org/officeDocument/2006/relationships/image" Target="../media/image203.png"/><Relationship Id="rId5" Type="http://schemas.openxmlformats.org/officeDocument/2006/relationships/image" Target="../media/image175.png"/><Relationship Id="rId6" Type="http://schemas.openxmlformats.org/officeDocument/2006/relationships/image" Target="../media/image179.png"/><Relationship Id="rId7" Type="http://schemas.openxmlformats.org/officeDocument/2006/relationships/image" Target="../media/image193.png"/><Relationship Id="rId8" Type="http://schemas.openxmlformats.org/officeDocument/2006/relationships/image" Target="../media/image185.png"/><Relationship Id="rId73" Type="http://schemas.openxmlformats.org/officeDocument/2006/relationships/image" Target="../media/image258.png"/><Relationship Id="rId72" Type="http://schemas.openxmlformats.org/officeDocument/2006/relationships/image" Target="../media/image247.png"/><Relationship Id="rId75" Type="http://schemas.openxmlformats.org/officeDocument/2006/relationships/image" Target="../media/image255.png"/><Relationship Id="rId74" Type="http://schemas.openxmlformats.org/officeDocument/2006/relationships/image" Target="../media/image250.png"/><Relationship Id="rId77" Type="http://schemas.openxmlformats.org/officeDocument/2006/relationships/image" Target="../media/image256.png"/><Relationship Id="rId76" Type="http://schemas.openxmlformats.org/officeDocument/2006/relationships/image" Target="../media/image254.png"/><Relationship Id="rId79" Type="http://schemas.openxmlformats.org/officeDocument/2006/relationships/image" Target="../media/image262.png"/><Relationship Id="rId78" Type="http://schemas.openxmlformats.org/officeDocument/2006/relationships/image" Target="../media/image251.png"/><Relationship Id="rId71" Type="http://schemas.openxmlformats.org/officeDocument/2006/relationships/image" Target="../media/image240.png"/><Relationship Id="rId70" Type="http://schemas.openxmlformats.org/officeDocument/2006/relationships/image" Target="../media/image236.png"/><Relationship Id="rId62" Type="http://schemas.openxmlformats.org/officeDocument/2006/relationships/image" Target="../media/image245.png"/><Relationship Id="rId61" Type="http://schemas.openxmlformats.org/officeDocument/2006/relationships/image" Target="../media/image234.png"/><Relationship Id="rId64" Type="http://schemas.openxmlformats.org/officeDocument/2006/relationships/image" Target="../media/image237.png"/><Relationship Id="rId63" Type="http://schemas.openxmlformats.org/officeDocument/2006/relationships/image" Target="../media/image242.png"/><Relationship Id="rId66" Type="http://schemas.openxmlformats.org/officeDocument/2006/relationships/image" Target="../media/image246.png"/><Relationship Id="rId65" Type="http://schemas.openxmlformats.org/officeDocument/2006/relationships/image" Target="../media/image243.png"/><Relationship Id="rId68" Type="http://schemas.openxmlformats.org/officeDocument/2006/relationships/image" Target="../media/image241.png"/><Relationship Id="rId67" Type="http://schemas.openxmlformats.org/officeDocument/2006/relationships/image" Target="../media/image249.png"/><Relationship Id="rId60" Type="http://schemas.openxmlformats.org/officeDocument/2006/relationships/image" Target="../media/image238.png"/><Relationship Id="rId69" Type="http://schemas.openxmlformats.org/officeDocument/2006/relationships/image" Target="../media/image244.png"/><Relationship Id="rId51" Type="http://schemas.openxmlformats.org/officeDocument/2006/relationships/image" Target="../media/image221.png"/><Relationship Id="rId50" Type="http://schemas.openxmlformats.org/officeDocument/2006/relationships/image" Target="../media/image222.png"/><Relationship Id="rId53" Type="http://schemas.openxmlformats.org/officeDocument/2006/relationships/image" Target="../media/image227.png"/><Relationship Id="rId52" Type="http://schemas.openxmlformats.org/officeDocument/2006/relationships/image" Target="../media/image226.png"/><Relationship Id="rId55" Type="http://schemas.openxmlformats.org/officeDocument/2006/relationships/image" Target="../media/image232.png"/><Relationship Id="rId54" Type="http://schemas.openxmlformats.org/officeDocument/2006/relationships/image" Target="../media/image239.png"/><Relationship Id="rId57" Type="http://schemas.openxmlformats.org/officeDocument/2006/relationships/image" Target="../media/image231.png"/><Relationship Id="rId56" Type="http://schemas.openxmlformats.org/officeDocument/2006/relationships/image" Target="../media/image230.png"/><Relationship Id="rId59" Type="http://schemas.openxmlformats.org/officeDocument/2006/relationships/image" Target="../media/image235.png"/><Relationship Id="rId58" Type="http://schemas.openxmlformats.org/officeDocument/2006/relationships/image" Target="../media/image228.png"/></Relationships>
</file>

<file path=xl/drawings/_rels/drawing13.xml.rels><?xml version="1.0" encoding="UTF-8" standalone="yes"?><Relationships xmlns="http://schemas.openxmlformats.org/package/2006/relationships"><Relationship Id="rId40" Type="http://schemas.openxmlformats.org/officeDocument/2006/relationships/image" Target="../media/image299.png"/><Relationship Id="rId42" Type="http://schemas.openxmlformats.org/officeDocument/2006/relationships/image" Target="../media/image397.png"/><Relationship Id="rId41" Type="http://schemas.openxmlformats.org/officeDocument/2006/relationships/image" Target="../media/image295.png"/><Relationship Id="rId44" Type="http://schemas.openxmlformats.org/officeDocument/2006/relationships/image" Target="../media/image298.png"/><Relationship Id="rId43" Type="http://schemas.openxmlformats.org/officeDocument/2006/relationships/image" Target="../media/image313.png"/><Relationship Id="rId46" Type="http://schemas.openxmlformats.org/officeDocument/2006/relationships/image" Target="../media/image311.png"/><Relationship Id="rId45" Type="http://schemas.openxmlformats.org/officeDocument/2006/relationships/image" Target="../media/image302.png"/><Relationship Id="rId48" Type="http://schemas.openxmlformats.org/officeDocument/2006/relationships/image" Target="../media/image312.png"/><Relationship Id="rId47" Type="http://schemas.openxmlformats.org/officeDocument/2006/relationships/image" Target="../media/image314.png"/><Relationship Id="rId49" Type="http://schemas.openxmlformats.org/officeDocument/2006/relationships/image" Target="../media/image308.png"/><Relationship Id="rId31" Type="http://schemas.openxmlformats.org/officeDocument/2006/relationships/image" Target="../media/image292.png"/><Relationship Id="rId30" Type="http://schemas.openxmlformats.org/officeDocument/2006/relationships/image" Target="../media/image288.png"/><Relationship Id="rId33" Type="http://schemas.openxmlformats.org/officeDocument/2006/relationships/image" Target="../media/image290.png"/><Relationship Id="rId32" Type="http://schemas.openxmlformats.org/officeDocument/2006/relationships/image" Target="../media/image291.png"/><Relationship Id="rId35" Type="http://schemas.openxmlformats.org/officeDocument/2006/relationships/image" Target="../media/image293.png"/><Relationship Id="rId34" Type="http://schemas.openxmlformats.org/officeDocument/2006/relationships/image" Target="../media/image294.png"/><Relationship Id="rId37" Type="http://schemas.openxmlformats.org/officeDocument/2006/relationships/image" Target="../media/image300.png"/><Relationship Id="rId36" Type="http://schemas.openxmlformats.org/officeDocument/2006/relationships/image" Target="../media/image297.png"/><Relationship Id="rId39" Type="http://schemas.openxmlformats.org/officeDocument/2006/relationships/image" Target="../media/image296.png"/><Relationship Id="rId38" Type="http://schemas.openxmlformats.org/officeDocument/2006/relationships/image" Target="../media/image336.png"/><Relationship Id="rId20" Type="http://schemas.openxmlformats.org/officeDocument/2006/relationships/image" Target="../media/image271.png"/><Relationship Id="rId22" Type="http://schemas.openxmlformats.org/officeDocument/2006/relationships/image" Target="../media/image280.png"/><Relationship Id="rId21" Type="http://schemas.openxmlformats.org/officeDocument/2006/relationships/image" Target="../media/image282.png"/><Relationship Id="rId24" Type="http://schemas.openxmlformats.org/officeDocument/2006/relationships/image" Target="../media/image283.png"/><Relationship Id="rId23" Type="http://schemas.openxmlformats.org/officeDocument/2006/relationships/image" Target="../media/image278.png"/><Relationship Id="rId26" Type="http://schemas.openxmlformats.org/officeDocument/2006/relationships/image" Target="../media/image277.png"/><Relationship Id="rId25" Type="http://schemas.openxmlformats.org/officeDocument/2006/relationships/image" Target="../media/image286.png"/><Relationship Id="rId28" Type="http://schemas.openxmlformats.org/officeDocument/2006/relationships/image" Target="../media/image285.png"/><Relationship Id="rId27" Type="http://schemas.openxmlformats.org/officeDocument/2006/relationships/image" Target="../media/image284.png"/><Relationship Id="rId29" Type="http://schemas.openxmlformats.org/officeDocument/2006/relationships/image" Target="../media/image287.png"/><Relationship Id="rId11" Type="http://schemas.openxmlformats.org/officeDocument/2006/relationships/image" Target="../media/image289.png"/><Relationship Id="rId10" Type="http://schemas.openxmlformats.org/officeDocument/2006/relationships/image" Target="../media/image273.png"/><Relationship Id="rId13" Type="http://schemas.openxmlformats.org/officeDocument/2006/relationships/image" Target="../media/image272.png"/><Relationship Id="rId12" Type="http://schemas.openxmlformats.org/officeDocument/2006/relationships/image" Target="../media/image269.png"/><Relationship Id="rId15" Type="http://schemas.openxmlformats.org/officeDocument/2006/relationships/image" Target="../media/image279.png"/><Relationship Id="rId14" Type="http://schemas.openxmlformats.org/officeDocument/2006/relationships/image" Target="../media/image274.png"/><Relationship Id="rId17" Type="http://schemas.openxmlformats.org/officeDocument/2006/relationships/image" Target="../media/image281.png"/><Relationship Id="rId16" Type="http://schemas.openxmlformats.org/officeDocument/2006/relationships/image" Target="../media/image301.png"/><Relationship Id="rId19" Type="http://schemas.openxmlformats.org/officeDocument/2006/relationships/image" Target="../media/image275.png"/><Relationship Id="rId18" Type="http://schemas.openxmlformats.org/officeDocument/2006/relationships/image" Target="../media/image276.png"/><Relationship Id="rId1" Type="http://schemas.openxmlformats.org/officeDocument/2006/relationships/image" Target="../media/image257.png"/><Relationship Id="rId2" Type="http://schemas.openxmlformats.org/officeDocument/2006/relationships/image" Target="../media/image263.png"/><Relationship Id="rId3" Type="http://schemas.openxmlformats.org/officeDocument/2006/relationships/image" Target="../media/image267.png"/><Relationship Id="rId4" Type="http://schemas.openxmlformats.org/officeDocument/2006/relationships/image" Target="../media/image264.png"/><Relationship Id="rId9" Type="http://schemas.openxmlformats.org/officeDocument/2006/relationships/image" Target="../media/image266.png"/><Relationship Id="rId5" Type="http://schemas.openxmlformats.org/officeDocument/2006/relationships/image" Target="../media/image265.png"/><Relationship Id="rId6" Type="http://schemas.openxmlformats.org/officeDocument/2006/relationships/image" Target="../media/image261.png"/><Relationship Id="rId7" Type="http://schemas.openxmlformats.org/officeDocument/2006/relationships/image" Target="../media/image260.png"/><Relationship Id="rId8" Type="http://schemas.openxmlformats.org/officeDocument/2006/relationships/image" Target="../media/image268.png"/><Relationship Id="rId51" Type="http://schemas.openxmlformats.org/officeDocument/2006/relationships/image" Target="../media/image310.png"/><Relationship Id="rId50" Type="http://schemas.openxmlformats.org/officeDocument/2006/relationships/image" Target="../media/image307.png"/><Relationship Id="rId53" Type="http://schemas.openxmlformats.org/officeDocument/2006/relationships/image" Target="../media/image305.png"/><Relationship Id="rId52" Type="http://schemas.openxmlformats.org/officeDocument/2006/relationships/image" Target="../media/image304.png"/></Relationships>
</file>

<file path=xl/drawings/_rels/drawing14.xml.rels><?xml version="1.0" encoding="UTF-8" standalone="yes"?><Relationships xmlns="http://schemas.openxmlformats.org/package/2006/relationships"><Relationship Id="rId40" Type="http://schemas.openxmlformats.org/officeDocument/2006/relationships/image" Target="../media/image350.png"/><Relationship Id="rId42" Type="http://schemas.openxmlformats.org/officeDocument/2006/relationships/image" Target="../media/image342.png"/><Relationship Id="rId41" Type="http://schemas.openxmlformats.org/officeDocument/2006/relationships/image" Target="../media/image356.png"/><Relationship Id="rId44" Type="http://schemas.openxmlformats.org/officeDocument/2006/relationships/image" Target="../media/image352.png"/><Relationship Id="rId43" Type="http://schemas.openxmlformats.org/officeDocument/2006/relationships/image" Target="../media/image345.png"/><Relationship Id="rId46" Type="http://schemas.openxmlformats.org/officeDocument/2006/relationships/image" Target="../media/image355.png"/><Relationship Id="rId45" Type="http://schemas.openxmlformats.org/officeDocument/2006/relationships/image" Target="../media/image362.png"/><Relationship Id="rId48" Type="http://schemas.openxmlformats.org/officeDocument/2006/relationships/image" Target="../media/image363.png"/><Relationship Id="rId47" Type="http://schemas.openxmlformats.org/officeDocument/2006/relationships/image" Target="../media/image357.png"/><Relationship Id="rId49" Type="http://schemas.openxmlformats.org/officeDocument/2006/relationships/image" Target="../media/image358.png"/><Relationship Id="rId31" Type="http://schemas.openxmlformats.org/officeDocument/2006/relationships/image" Target="../media/image346.png"/><Relationship Id="rId30" Type="http://schemas.openxmlformats.org/officeDocument/2006/relationships/image" Target="../media/image361.png"/><Relationship Id="rId33" Type="http://schemas.openxmlformats.org/officeDocument/2006/relationships/image" Target="../media/image340.png"/><Relationship Id="rId32" Type="http://schemas.openxmlformats.org/officeDocument/2006/relationships/image" Target="../media/image347.png"/><Relationship Id="rId35" Type="http://schemas.openxmlformats.org/officeDocument/2006/relationships/image" Target="../media/image349.png"/><Relationship Id="rId34" Type="http://schemas.openxmlformats.org/officeDocument/2006/relationships/image" Target="../media/image344.png"/><Relationship Id="rId37" Type="http://schemas.openxmlformats.org/officeDocument/2006/relationships/image" Target="../media/image351.png"/><Relationship Id="rId36" Type="http://schemas.openxmlformats.org/officeDocument/2006/relationships/image" Target="../media/image354.png"/><Relationship Id="rId39" Type="http://schemas.openxmlformats.org/officeDocument/2006/relationships/image" Target="../media/image353.png"/><Relationship Id="rId38" Type="http://schemas.openxmlformats.org/officeDocument/2006/relationships/image" Target="../media/image348.png"/><Relationship Id="rId20" Type="http://schemas.openxmlformats.org/officeDocument/2006/relationships/image" Target="../media/image331.png"/><Relationship Id="rId22" Type="http://schemas.openxmlformats.org/officeDocument/2006/relationships/image" Target="../media/image323.png"/><Relationship Id="rId21" Type="http://schemas.openxmlformats.org/officeDocument/2006/relationships/image" Target="../media/image319.png"/><Relationship Id="rId24" Type="http://schemas.openxmlformats.org/officeDocument/2006/relationships/image" Target="../media/image334.png"/><Relationship Id="rId23" Type="http://schemas.openxmlformats.org/officeDocument/2006/relationships/image" Target="../media/image327.png"/><Relationship Id="rId26" Type="http://schemas.openxmlformats.org/officeDocument/2006/relationships/image" Target="../media/image335.png"/><Relationship Id="rId25" Type="http://schemas.openxmlformats.org/officeDocument/2006/relationships/image" Target="../media/image338.png"/><Relationship Id="rId28" Type="http://schemas.openxmlformats.org/officeDocument/2006/relationships/image" Target="../media/image343.png"/><Relationship Id="rId27" Type="http://schemas.openxmlformats.org/officeDocument/2006/relationships/image" Target="../media/image337.png"/><Relationship Id="rId29" Type="http://schemas.openxmlformats.org/officeDocument/2006/relationships/image" Target="../media/image341.png"/><Relationship Id="rId11" Type="http://schemas.openxmlformats.org/officeDocument/2006/relationships/image" Target="../media/image320.png"/><Relationship Id="rId10" Type="http://schemas.openxmlformats.org/officeDocument/2006/relationships/image" Target="../media/image316.png"/><Relationship Id="rId13" Type="http://schemas.openxmlformats.org/officeDocument/2006/relationships/image" Target="../media/image333.png"/><Relationship Id="rId12" Type="http://schemas.openxmlformats.org/officeDocument/2006/relationships/image" Target="../media/image329.png"/><Relationship Id="rId15" Type="http://schemas.openxmlformats.org/officeDocument/2006/relationships/image" Target="../media/image330.png"/><Relationship Id="rId14" Type="http://schemas.openxmlformats.org/officeDocument/2006/relationships/image" Target="../media/image318.png"/><Relationship Id="rId17" Type="http://schemas.openxmlformats.org/officeDocument/2006/relationships/image" Target="../media/image339.png"/><Relationship Id="rId16" Type="http://schemas.openxmlformats.org/officeDocument/2006/relationships/image" Target="../media/image328.png"/><Relationship Id="rId19" Type="http://schemas.openxmlformats.org/officeDocument/2006/relationships/image" Target="../media/image332.png"/><Relationship Id="rId18" Type="http://schemas.openxmlformats.org/officeDocument/2006/relationships/image" Target="../media/image326.png"/><Relationship Id="rId1" Type="http://schemas.openxmlformats.org/officeDocument/2006/relationships/image" Target="../media/image303.png"/><Relationship Id="rId2" Type="http://schemas.openxmlformats.org/officeDocument/2006/relationships/image" Target="../media/image306.png"/><Relationship Id="rId3" Type="http://schemas.openxmlformats.org/officeDocument/2006/relationships/image" Target="../media/image309.png"/><Relationship Id="rId4" Type="http://schemas.openxmlformats.org/officeDocument/2006/relationships/image" Target="../media/image324.png"/><Relationship Id="rId9" Type="http://schemas.openxmlformats.org/officeDocument/2006/relationships/image" Target="../media/image321.png"/><Relationship Id="rId5" Type="http://schemas.openxmlformats.org/officeDocument/2006/relationships/image" Target="../media/image315.png"/><Relationship Id="rId6" Type="http://schemas.openxmlformats.org/officeDocument/2006/relationships/image" Target="../media/image317.png"/><Relationship Id="rId7" Type="http://schemas.openxmlformats.org/officeDocument/2006/relationships/image" Target="../media/image322.png"/><Relationship Id="rId8" Type="http://schemas.openxmlformats.org/officeDocument/2006/relationships/image" Target="../media/image325.png"/><Relationship Id="rId62" Type="http://schemas.openxmlformats.org/officeDocument/2006/relationships/image" Target="../media/image374.png"/><Relationship Id="rId61" Type="http://schemas.openxmlformats.org/officeDocument/2006/relationships/image" Target="../media/image377.png"/><Relationship Id="rId64" Type="http://schemas.openxmlformats.org/officeDocument/2006/relationships/image" Target="../media/image372.png"/><Relationship Id="rId63" Type="http://schemas.openxmlformats.org/officeDocument/2006/relationships/image" Target="../media/image375.png"/><Relationship Id="rId66" Type="http://schemas.openxmlformats.org/officeDocument/2006/relationships/image" Target="../media/image380.png"/><Relationship Id="rId65" Type="http://schemas.openxmlformats.org/officeDocument/2006/relationships/image" Target="../media/image378.png"/><Relationship Id="rId68" Type="http://schemas.openxmlformats.org/officeDocument/2006/relationships/image" Target="../media/image367.png"/><Relationship Id="rId67" Type="http://schemas.openxmlformats.org/officeDocument/2006/relationships/image" Target="../media/image382.png"/><Relationship Id="rId60" Type="http://schemas.openxmlformats.org/officeDocument/2006/relationships/image" Target="../media/image376.png"/><Relationship Id="rId69" Type="http://schemas.openxmlformats.org/officeDocument/2006/relationships/image" Target="../media/image379.png"/><Relationship Id="rId51" Type="http://schemas.openxmlformats.org/officeDocument/2006/relationships/image" Target="../media/image370.png"/><Relationship Id="rId50" Type="http://schemas.openxmlformats.org/officeDocument/2006/relationships/image" Target="../media/image359.png"/><Relationship Id="rId53" Type="http://schemas.openxmlformats.org/officeDocument/2006/relationships/image" Target="../media/image364.png"/><Relationship Id="rId52" Type="http://schemas.openxmlformats.org/officeDocument/2006/relationships/image" Target="../media/image360.png"/><Relationship Id="rId55" Type="http://schemas.openxmlformats.org/officeDocument/2006/relationships/image" Target="../media/image369.png"/><Relationship Id="rId54" Type="http://schemas.openxmlformats.org/officeDocument/2006/relationships/image" Target="../media/image365.png"/><Relationship Id="rId57" Type="http://schemas.openxmlformats.org/officeDocument/2006/relationships/image" Target="../media/image366.png"/><Relationship Id="rId56" Type="http://schemas.openxmlformats.org/officeDocument/2006/relationships/image" Target="../media/image371.png"/><Relationship Id="rId59" Type="http://schemas.openxmlformats.org/officeDocument/2006/relationships/image" Target="../media/image368.png"/><Relationship Id="rId58" Type="http://schemas.openxmlformats.org/officeDocument/2006/relationships/image" Target="../media/image373.png"/></Relationships>
</file>

<file path=xl/drawings/_rels/drawing15.xml.rels><?xml version="1.0" encoding="UTF-8" standalone="yes"?><Relationships xmlns="http://schemas.openxmlformats.org/package/2006/relationships"><Relationship Id="rId11" Type="http://schemas.openxmlformats.org/officeDocument/2006/relationships/image" Target="../media/image390.png"/><Relationship Id="rId10" Type="http://schemas.openxmlformats.org/officeDocument/2006/relationships/image" Target="../media/image394.png"/><Relationship Id="rId13" Type="http://schemas.openxmlformats.org/officeDocument/2006/relationships/image" Target="../media/image391.png"/><Relationship Id="rId12" Type="http://schemas.openxmlformats.org/officeDocument/2006/relationships/image" Target="../media/image387.png"/><Relationship Id="rId14" Type="http://schemas.openxmlformats.org/officeDocument/2006/relationships/image" Target="../media/image388.png"/><Relationship Id="rId1" Type="http://schemas.openxmlformats.org/officeDocument/2006/relationships/image" Target="../media/image395.png"/><Relationship Id="rId2" Type="http://schemas.openxmlformats.org/officeDocument/2006/relationships/image" Target="../media/image385.png"/><Relationship Id="rId3" Type="http://schemas.openxmlformats.org/officeDocument/2006/relationships/image" Target="../media/image386.png"/><Relationship Id="rId4" Type="http://schemas.openxmlformats.org/officeDocument/2006/relationships/image" Target="../media/image384.png"/><Relationship Id="rId9" Type="http://schemas.openxmlformats.org/officeDocument/2006/relationships/image" Target="../media/image392.png"/><Relationship Id="rId5" Type="http://schemas.openxmlformats.org/officeDocument/2006/relationships/image" Target="../media/image381.png"/><Relationship Id="rId6" Type="http://schemas.openxmlformats.org/officeDocument/2006/relationships/image" Target="../media/image383.png"/><Relationship Id="rId7" Type="http://schemas.openxmlformats.org/officeDocument/2006/relationships/image" Target="../media/image393.png"/><Relationship Id="rId8" Type="http://schemas.openxmlformats.org/officeDocument/2006/relationships/image" Target="../media/image38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714375" cy="71437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714375" cy="714375"/>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714375" cy="714375"/>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714375" cy="714375"/>
    <xdr:pic>
      <xdr:nvPicPr>
        <xdr:cNvPr id="0" name="image16.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714375" cy="714375"/>
    <xdr:pic>
      <xdr:nvPicPr>
        <xdr:cNvPr id="0" name="image14.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714375" cy="714375"/>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714375" cy="714375"/>
    <xdr:pic>
      <xdr:nvPicPr>
        <xdr:cNvPr id="0" name="image9.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714375" cy="714375"/>
    <xdr:pic>
      <xdr:nvPicPr>
        <xdr:cNvPr id="0" name="image23.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714375" cy="714375"/>
    <xdr:pic>
      <xdr:nvPicPr>
        <xdr:cNvPr id="0" name="image21.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714375" cy="714375"/>
    <xdr:pic>
      <xdr:nvPicPr>
        <xdr:cNvPr id="0" name="image1.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714375" cy="714375"/>
    <xdr:pic>
      <xdr:nvPicPr>
        <xdr:cNvPr id="0" name="image1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714375" cy="714375"/>
    <xdr:pic>
      <xdr:nvPicPr>
        <xdr:cNvPr id="0" name="image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714375" cy="714375"/>
    <xdr:pic>
      <xdr:nvPicPr>
        <xdr:cNvPr id="0" name="image24.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714375" cy="714375"/>
    <xdr:pic>
      <xdr:nvPicPr>
        <xdr:cNvPr id="0" name="image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714375" cy="714375"/>
    <xdr:pic>
      <xdr:nvPicPr>
        <xdr:cNvPr id="0" name="image11.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714375" cy="714375"/>
    <xdr:pic>
      <xdr:nvPicPr>
        <xdr:cNvPr id="0" name="image15.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714375" cy="714375"/>
    <xdr:pic>
      <xdr:nvPicPr>
        <xdr:cNvPr id="0" name="image12.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714375" cy="714375"/>
    <xdr:pic>
      <xdr:nvPicPr>
        <xdr:cNvPr id="0" name="image19.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714375" cy="714375"/>
    <xdr:pic>
      <xdr:nvPicPr>
        <xdr:cNvPr id="0" name="image2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714375" cy="714375"/>
    <xdr:pic>
      <xdr:nvPicPr>
        <xdr:cNvPr id="0" name="image7.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714375" cy="714375"/>
    <xdr:pic>
      <xdr:nvPicPr>
        <xdr:cNvPr id="0" name="image8.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714375" cy="714375"/>
    <xdr:pic>
      <xdr:nvPicPr>
        <xdr:cNvPr id="0" name="image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714375" cy="714375"/>
    <xdr:pic>
      <xdr:nvPicPr>
        <xdr:cNvPr id="0" name="image1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714375" cy="714375"/>
    <xdr:pic>
      <xdr:nvPicPr>
        <xdr:cNvPr id="0" name="image28.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714375" cy="714375"/>
    <xdr:pic>
      <xdr:nvPicPr>
        <xdr:cNvPr id="0" name="image13.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714375" cy="714375"/>
    <xdr:pic>
      <xdr:nvPicPr>
        <xdr:cNvPr id="0" name="image29.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714375" cy="714375"/>
    <xdr:pic>
      <xdr:nvPicPr>
        <xdr:cNvPr id="0" name="image25.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714375" cy="714375"/>
    <xdr:pic>
      <xdr:nvPicPr>
        <xdr:cNvPr id="0" name="image26.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714375" cy="714375"/>
    <xdr:pic>
      <xdr:nvPicPr>
        <xdr:cNvPr id="0" name="image30.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714375" cy="714375"/>
    <xdr:pic>
      <xdr:nvPicPr>
        <xdr:cNvPr id="0" name="image42.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714375" cy="714375"/>
    <xdr:pic>
      <xdr:nvPicPr>
        <xdr:cNvPr id="0" name="image27.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714375" cy="714375"/>
    <xdr:pic>
      <xdr:nvPicPr>
        <xdr:cNvPr id="0" name="image3.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33</xdr:row>
      <xdr:rowOff>0</xdr:rowOff>
    </xdr:from>
    <xdr:ext cx="714375" cy="714375"/>
    <xdr:pic>
      <xdr:nvPicPr>
        <xdr:cNvPr id="0" name="image31.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34</xdr:row>
      <xdr:rowOff>0</xdr:rowOff>
    </xdr:from>
    <xdr:ext cx="714375" cy="714375"/>
    <xdr:pic>
      <xdr:nvPicPr>
        <xdr:cNvPr id="0" name="image34.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35</xdr:row>
      <xdr:rowOff>0</xdr:rowOff>
    </xdr:from>
    <xdr:ext cx="714375" cy="714375"/>
    <xdr:pic>
      <xdr:nvPicPr>
        <xdr:cNvPr id="0" name="image162.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36</xdr:row>
      <xdr:rowOff>0</xdr:rowOff>
    </xdr:from>
    <xdr:ext cx="714375" cy="714375"/>
    <xdr:pic>
      <xdr:nvPicPr>
        <xdr:cNvPr id="0" name="image32.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37</xdr:row>
      <xdr:rowOff>0</xdr:rowOff>
    </xdr:from>
    <xdr:ext cx="714375" cy="714375"/>
    <xdr:pic>
      <xdr:nvPicPr>
        <xdr:cNvPr id="0" name="image38.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38</xdr:row>
      <xdr:rowOff>0</xdr:rowOff>
    </xdr:from>
    <xdr:ext cx="714375" cy="714375"/>
    <xdr:pic>
      <xdr:nvPicPr>
        <xdr:cNvPr id="0" name="image39.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39</xdr:row>
      <xdr:rowOff>0</xdr:rowOff>
    </xdr:from>
    <xdr:ext cx="714375" cy="714375"/>
    <xdr:pic>
      <xdr:nvPicPr>
        <xdr:cNvPr id="0" name="image35.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41</xdr:row>
      <xdr:rowOff>0</xdr:rowOff>
    </xdr:from>
    <xdr:ext cx="714375" cy="714375"/>
    <xdr:pic>
      <xdr:nvPicPr>
        <xdr:cNvPr id="0" name="image40.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42</xdr:row>
      <xdr:rowOff>0</xdr:rowOff>
    </xdr:from>
    <xdr:ext cx="714375" cy="714375"/>
    <xdr:pic>
      <xdr:nvPicPr>
        <xdr:cNvPr id="0" name="image37.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43</xdr:row>
      <xdr:rowOff>0</xdr:rowOff>
    </xdr:from>
    <xdr:ext cx="714375" cy="714375"/>
    <xdr:pic>
      <xdr:nvPicPr>
        <xdr:cNvPr id="0" name="image152.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44</xdr:row>
      <xdr:rowOff>0</xdr:rowOff>
    </xdr:from>
    <xdr:ext cx="714375" cy="714375"/>
    <xdr:pic>
      <xdr:nvPicPr>
        <xdr:cNvPr id="0" name="image36.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45</xdr:row>
      <xdr:rowOff>0</xdr:rowOff>
    </xdr:from>
    <xdr:ext cx="714375" cy="714375"/>
    <xdr:pic>
      <xdr:nvPicPr>
        <xdr:cNvPr id="0" name="image3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46</xdr:row>
      <xdr:rowOff>0</xdr:rowOff>
    </xdr:from>
    <xdr:ext cx="714375" cy="714375"/>
    <xdr:pic>
      <xdr:nvPicPr>
        <xdr:cNvPr id="0" name="image44.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47</xdr:row>
      <xdr:rowOff>0</xdr:rowOff>
    </xdr:from>
    <xdr:ext cx="714375" cy="714375"/>
    <xdr:pic>
      <xdr:nvPicPr>
        <xdr:cNvPr id="0" name="image53.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48</xdr:row>
      <xdr:rowOff>0</xdr:rowOff>
    </xdr:from>
    <xdr:ext cx="714375" cy="714375"/>
    <xdr:pic>
      <xdr:nvPicPr>
        <xdr:cNvPr id="0" name="image5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49</xdr:row>
      <xdr:rowOff>0</xdr:rowOff>
    </xdr:from>
    <xdr:ext cx="714375" cy="714375"/>
    <xdr:pic>
      <xdr:nvPicPr>
        <xdr:cNvPr id="0" name="image45.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50</xdr:row>
      <xdr:rowOff>0</xdr:rowOff>
    </xdr:from>
    <xdr:ext cx="714375" cy="714375"/>
    <xdr:pic>
      <xdr:nvPicPr>
        <xdr:cNvPr id="0" name="image41.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51</xdr:row>
      <xdr:rowOff>0</xdr:rowOff>
    </xdr:from>
    <xdr:ext cx="714375" cy="714375"/>
    <xdr:pic>
      <xdr:nvPicPr>
        <xdr:cNvPr id="0" name="image43.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52</xdr:row>
      <xdr:rowOff>0</xdr:rowOff>
    </xdr:from>
    <xdr:ext cx="714375" cy="714375"/>
    <xdr:pic>
      <xdr:nvPicPr>
        <xdr:cNvPr id="0" name="image50.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53</xdr:row>
      <xdr:rowOff>0</xdr:rowOff>
    </xdr:from>
    <xdr:ext cx="714375" cy="714375"/>
    <xdr:pic>
      <xdr:nvPicPr>
        <xdr:cNvPr id="0" name="image48.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54</xdr:row>
      <xdr:rowOff>0</xdr:rowOff>
    </xdr:from>
    <xdr:ext cx="714375" cy="714375"/>
    <xdr:pic>
      <xdr:nvPicPr>
        <xdr:cNvPr id="0" name="image52.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55</xdr:row>
      <xdr:rowOff>0</xdr:rowOff>
    </xdr:from>
    <xdr:ext cx="714375" cy="714375"/>
    <xdr:pic>
      <xdr:nvPicPr>
        <xdr:cNvPr id="0" name="image49.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56</xdr:row>
      <xdr:rowOff>0</xdr:rowOff>
    </xdr:from>
    <xdr:ext cx="714375" cy="714375"/>
    <xdr:pic>
      <xdr:nvPicPr>
        <xdr:cNvPr id="0" name="image55.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57</xdr:row>
      <xdr:rowOff>0</xdr:rowOff>
    </xdr:from>
    <xdr:ext cx="714375" cy="714375"/>
    <xdr:pic>
      <xdr:nvPicPr>
        <xdr:cNvPr id="0" name="image46.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58</xdr:row>
      <xdr:rowOff>0</xdr:rowOff>
    </xdr:from>
    <xdr:ext cx="714375" cy="714375"/>
    <xdr:pic>
      <xdr:nvPicPr>
        <xdr:cNvPr id="0" name="image61.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59</xdr:row>
      <xdr:rowOff>0</xdr:rowOff>
    </xdr:from>
    <xdr:ext cx="714375" cy="714375"/>
    <xdr:pic>
      <xdr:nvPicPr>
        <xdr:cNvPr id="0" name="image47.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60</xdr:row>
      <xdr:rowOff>0</xdr:rowOff>
    </xdr:from>
    <xdr:ext cx="714375" cy="714375"/>
    <xdr:pic>
      <xdr:nvPicPr>
        <xdr:cNvPr id="0" name="image59.pn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61</xdr:row>
      <xdr:rowOff>0</xdr:rowOff>
    </xdr:from>
    <xdr:ext cx="714375" cy="714375"/>
    <xdr:pic>
      <xdr:nvPicPr>
        <xdr:cNvPr id="0" name="image57.pn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62</xdr:row>
      <xdr:rowOff>0</xdr:rowOff>
    </xdr:from>
    <xdr:ext cx="714375" cy="714375"/>
    <xdr:pic>
      <xdr:nvPicPr>
        <xdr:cNvPr id="0" name="image62.pn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63</xdr:row>
      <xdr:rowOff>0</xdr:rowOff>
    </xdr:from>
    <xdr:ext cx="714375" cy="714375"/>
    <xdr:pic>
      <xdr:nvPicPr>
        <xdr:cNvPr id="0" name="image5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64</xdr:row>
      <xdr:rowOff>0</xdr:rowOff>
    </xdr:from>
    <xdr:ext cx="714375" cy="714375"/>
    <xdr:pic>
      <xdr:nvPicPr>
        <xdr:cNvPr id="0" name="image63.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65</xdr:row>
      <xdr:rowOff>0</xdr:rowOff>
    </xdr:from>
    <xdr:ext cx="714375" cy="714375"/>
    <xdr:pic>
      <xdr:nvPicPr>
        <xdr:cNvPr id="0" name="image60.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66</xdr:row>
      <xdr:rowOff>0</xdr:rowOff>
    </xdr:from>
    <xdr:ext cx="714375" cy="714375"/>
    <xdr:pic>
      <xdr:nvPicPr>
        <xdr:cNvPr id="0" name="image56.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67</xdr:row>
      <xdr:rowOff>0</xdr:rowOff>
    </xdr:from>
    <xdr:ext cx="714375" cy="714375"/>
    <xdr:pic>
      <xdr:nvPicPr>
        <xdr:cNvPr id="0" name="image64.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68</xdr:row>
      <xdr:rowOff>0</xdr:rowOff>
    </xdr:from>
    <xdr:ext cx="714375" cy="714375"/>
    <xdr:pic>
      <xdr:nvPicPr>
        <xdr:cNvPr id="0" name="image58.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69</xdr:row>
      <xdr:rowOff>0</xdr:rowOff>
    </xdr:from>
    <xdr:ext cx="714375" cy="714375"/>
    <xdr:pic>
      <xdr:nvPicPr>
        <xdr:cNvPr id="0" name="image67.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70</xdr:row>
      <xdr:rowOff>0</xdr:rowOff>
    </xdr:from>
    <xdr:ext cx="714375" cy="714375"/>
    <xdr:pic>
      <xdr:nvPicPr>
        <xdr:cNvPr id="0" name="image66.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71</xdr:row>
      <xdr:rowOff>0</xdr:rowOff>
    </xdr:from>
    <xdr:ext cx="714375" cy="714375"/>
    <xdr:pic>
      <xdr:nvPicPr>
        <xdr:cNvPr id="0" name="image65.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72</xdr:row>
      <xdr:rowOff>0</xdr:rowOff>
    </xdr:from>
    <xdr:ext cx="714375" cy="714375"/>
    <xdr:pic>
      <xdr:nvPicPr>
        <xdr:cNvPr id="0" name="image68.pn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73</xdr:row>
      <xdr:rowOff>0</xdr:rowOff>
    </xdr:from>
    <xdr:ext cx="714375" cy="714375"/>
    <xdr:pic>
      <xdr:nvPicPr>
        <xdr:cNvPr id="0" name="image80.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75</xdr:row>
      <xdr:rowOff>0</xdr:rowOff>
    </xdr:from>
    <xdr:ext cx="714375" cy="714375"/>
    <xdr:pic>
      <xdr:nvPicPr>
        <xdr:cNvPr id="0" name="image73.pn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0</xdr:colOff>
      <xdr:row>76</xdr:row>
      <xdr:rowOff>0</xdr:rowOff>
    </xdr:from>
    <xdr:ext cx="714375" cy="714375"/>
    <xdr:pic>
      <xdr:nvPicPr>
        <xdr:cNvPr id="0" name="image79.pn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77</xdr:row>
      <xdr:rowOff>0</xdr:rowOff>
    </xdr:from>
    <xdr:ext cx="714375" cy="714375"/>
    <xdr:pic>
      <xdr:nvPicPr>
        <xdr:cNvPr id="0" name="image77.pn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0</xdr:colOff>
      <xdr:row>78</xdr:row>
      <xdr:rowOff>0</xdr:rowOff>
    </xdr:from>
    <xdr:ext cx="714375" cy="714375"/>
    <xdr:pic>
      <xdr:nvPicPr>
        <xdr:cNvPr id="0" name="image83.pn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0</xdr:colOff>
      <xdr:row>79</xdr:row>
      <xdr:rowOff>0</xdr:rowOff>
    </xdr:from>
    <xdr:ext cx="714375" cy="714375"/>
    <xdr:pic>
      <xdr:nvPicPr>
        <xdr:cNvPr id="0" name="image70.pn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0</xdr:colOff>
      <xdr:row>80</xdr:row>
      <xdr:rowOff>0</xdr:rowOff>
    </xdr:from>
    <xdr:ext cx="714375" cy="714375"/>
    <xdr:pic>
      <xdr:nvPicPr>
        <xdr:cNvPr id="0" name="image74.pn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0</xdr:colOff>
      <xdr:row>81</xdr:row>
      <xdr:rowOff>0</xdr:rowOff>
    </xdr:from>
    <xdr:ext cx="714375" cy="714375"/>
    <xdr:pic>
      <xdr:nvPicPr>
        <xdr:cNvPr id="0" name="image71.png"/>
        <xdr:cNvPicPr preferRelativeResize="0"/>
      </xdr:nvPicPr>
      <xdr:blipFill>
        <a:blip cstate="print" r:embed="rId78"/>
        <a:stretch>
          <a:fillRect/>
        </a:stretch>
      </xdr:blipFill>
      <xdr:spPr>
        <a:prstGeom prst="rect">
          <a:avLst/>
        </a:prstGeom>
        <a:noFill/>
      </xdr:spPr>
    </xdr:pic>
    <xdr:clientData fLocksWithSheet="0"/>
  </xdr:oneCellAnchor>
  <xdr:oneCellAnchor>
    <xdr:from>
      <xdr:col>2</xdr:col>
      <xdr:colOff>0</xdr:colOff>
      <xdr:row>82</xdr:row>
      <xdr:rowOff>0</xdr:rowOff>
    </xdr:from>
    <xdr:ext cx="714375" cy="714375"/>
    <xdr:pic>
      <xdr:nvPicPr>
        <xdr:cNvPr id="0" name="image81.pn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83</xdr:row>
      <xdr:rowOff>0</xdr:rowOff>
    </xdr:from>
    <xdr:ext cx="714375" cy="714375"/>
    <xdr:pic>
      <xdr:nvPicPr>
        <xdr:cNvPr id="0" name="image75.pn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0</xdr:colOff>
      <xdr:row>84</xdr:row>
      <xdr:rowOff>0</xdr:rowOff>
    </xdr:from>
    <xdr:ext cx="714375" cy="714375"/>
    <xdr:pic>
      <xdr:nvPicPr>
        <xdr:cNvPr id="0" name="image69.pn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0</xdr:colOff>
      <xdr:row>85</xdr:row>
      <xdr:rowOff>0</xdr:rowOff>
    </xdr:from>
    <xdr:ext cx="714375" cy="714375"/>
    <xdr:pic>
      <xdr:nvPicPr>
        <xdr:cNvPr id="0" name="image72.pn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0</xdr:colOff>
      <xdr:row>86</xdr:row>
      <xdr:rowOff>0</xdr:rowOff>
    </xdr:from>
    <xdr:ext cx="714375" cy="714375"/>
    <xdr:pic>
      <xdr:nvPicPr>
        <xdr:cNvPr id="0" name="image76.png"/>
        <xdr:cNvPicPr preferRelativeResize="0"/>
      </xdr:nvPicPr>
      <xdr:blipFill>
        <a:blip cstate="print" r:embed="rId83"/>
        <a:stretch>
          <a:fillRect/>
        </a:stretch>
      </xdr:blipFill>
      <xdr:spPr>
        <a:prstGeom prst="rect">
          <a:avLst/>
        </a:prstGeom>
        <a:noFill/>
      </xdr:spPr>
    </xdr:pic>
    <xdr:clientData fLocksWithSheet="0"/>
  </xdr:oneCellAnchor>
  <xdr:oneCellAnchor>
    <xdr:from>
      <xdr:col>2</xdr:col>
      <xdr:colOff>0</xdr:colOff>
      <xdr:row>87</xdr:row>
      <xdr:rowOff>0</xdr:rowOff>
    </xdr:from>
    <xdr:ext cx="714375" cy="714375"/>
    <xdr:pic>
      <xdr:nvPicPr>
        <xdr:cNvPr id="0" name="image78.png"/>
        <xdr:cNvPicPr preferRelativeResize="0"/>
      </xdr:nvPicPr>
      <xdr:blipFill>
        <a:blip cstate="print" r:embed="rId84"/>
        <a:stretch>
          <a:fillRect/>
        </a:stretch>
      </xdr:blipFill>
      <xdr:spPr>
        <a:prstGeom prst="rect">
          <a:avLst/>
        </a:prstGeom>
        <a:noFill/>
      </xdr:spPr>
    </xdr:pic>
    <xdr:clientData fLocksWithSheet="0"/>
  </xdr:oneCellAnchor>
  <xdr:oneCellAnchor>
    <xdr:from>
      <xdr:col>2</xdr:col>
      <xdr:colOff>0</xdr:colOff>
      <xdr:row>88</xdr:row>
      <xdr:rowOff>0</xdr:rowOff>
    </xdr:from>
    <xdr:ext cx="714375" cy="714375"/>
    <xdr:pic>
      <xdr:nvPicPr>
        <xdr:cNvPr id="0" name="image82.png"/>
        <xdr:cNvPicPr preferRelativeResize="0"/>
      </xdr:nvPicPr>
      <xdr:blipFill>
        <a:blip cstate="print" r:embed="rId85"/>
        <a:stretch>
          <a:fillRect/>
        </a:stretch>
      </xdr:blipFill>
      <xdr:spPr>
        <a:prstGeom prst="rect">
          <a:avLst/>
        </a:prstGeom>
        <a:noFill/>
      </xdr:spPr>
    </xdr:pic>
    <xdr:clientData fLocksWithSheet="0"/>
  </xdr:oneCellAnchor>
  <xdr:oneCellAnchor>
    <xdr:from>
      <xdr:col>2</xdr:col>
      <xdr:colOff>0</xdr:colOff>
      <xdr:row>89</xdr:row>
      <xdr:rowOff>0</xdr:rowOff>
    </xdr:from>
    <xdr:ext cx="714375" cy="714375"/>
    <xdr:pic>
      <xdr:nvPicPr>
        <xdr:cNvPr id="0" name="image85.png"/>
        <xdr:cNvPicPr preferRelativeResize="0"/>
      </xdr:nvPicPr>
      <xdr:blipFill>
        <a:blip cstate="print" r:embed="rId86"/>
        <a:stretch>
          <a:fillRect/>
        </a:stretch>
      </xdr:blipFill>
      <xdr:spPr>
        <a:prstGeom prst="rect">
          <a:avLst/>
        </a:prstGeom>
        <a:noFill/>
      </xdr:spPr>
    </xdr:pic>
    <xdr:clientData fLocksWithSheet="0"/>
  </xdr:oneCellAnchor>
  <xdr:oneCellAnchor>
    <xdr:from>
      <xdr:col>2</xdr:col>
      <xdr:colOff>0</xdr:colOff>
      <xdr:row>90</xdr:row>
      <xdr:rowOff>0</xdr:rowOff>
    </xdr:from>
    <xdr:ext cx="714375" cy="714375"/>
    <xdr:pic>
      <xdr:nvPicPr>
        <xdr:cNvPr id="0" name="image86.png"/>
        <xdr:cNvPicPr preferRelativeResize="0"/>
      </xdr:nvPicPr>
      <xdr:blipFill>
        <a:blip cstate="print" r:embed="rId87"/>
        <a:stretch>
          <a:fillRect/>
        </a:stretch>
      </xdr:blipFill>
      <xdr:spPr>
        <a:prstGeom prst="rect">
          <a:avLst/>
        </a:prstGeom>
        <a:noFill/>
      </xdr:spPr>
    </xdr:pic>
    <xdr:clientData fLocksWithSheet="0"/>
  </xdr:oneCellAnchor>
  <xdr:oneCellAnchor>
    <xdr:from>
      <xdr:col>2</xdr:col>
      <xdr:colOff>0</xdr:colOff>
      <xdr:row>91</xdr:row>
      <xdr:rowOff>0</xdr:rowOff>
    </xdr:from>
    <xdr:ext cx="714375" cy="714375"/>
    <xdr:pic>
      <xdr:nvPicPr>
        <xdr:cNvPr id="0" name="image89.png"/>
        <xdr:cNvPicPr preferRelativeResize="0"/>
      </xdr:nvPicPr>
      <xdr:blipFill>
        <a:blip cstate="print" r:embed="rId88"/>
        <a:stretch>
          <a:fillRect/>
        </a:stretch>
      </xdr:blipFill>
      <xdr:spPr>
        <a:prstGeom prst="rect">
          <a:avLst/>
        </a:prstGeom>
        <a:noFill/>
      </xdr:spPr>
    </xdr:pic>
    <xdr:clientData fLocksWithSheet="0"/>
  </xdr:oneCellAnchor>
  <xdr:oneCellAnchor>
    <xdr:from>
      <xdr:col>2</xdr:col>
      <xdr:colOff>0</xdr:colOff>
      <xdr:row>92</xdr:row>
      <xdr:rowOff>0</xdr:rowOff>
    </xdr:from>
    <xdr:ext cx="714375" cy="714375"/>
    <xdr:pic>
      <xdr:nvPicPr>
        <xdr:cNvPr id="0" name="image84.png"/>
        <xdr:cNvPicPr preferRelativeResize="0"/>
      </xdr:nvPicPr>
      <xdr:blipFill>
        <a:blip cstate="print" r:embed="rId89"/>
        <a:stretch>
          <a:fillRect/>
        </a:stretch>
      </xdr:blipFill>
      <xdr:spPr>
        <a:prstGeom prst="rect">
          <a:avLst/>
        </a:prstGeom>
        <a:noFill/>
      </xdr:spPr>
    </xdr:pic>
    <xdr:clientData fLocksWithSheet="0"/>
  </xdr:oneCellAnchor>
  <xdr:oneCellAnchor>
    <xdr:from>
      <xdr:col>2</xdr:col>
      <xdr:colOff>0</xdr:colOff>
      <xdr:row>93</xdr:row>
      <xdr:rowOff>0</xdr:rowOff>
    </xdr:from>
    <xdr:ext cx="714375" cy="714375"/>
    <xdr:pic>
      <xdr:nvPicPr>
        <xdr:cNvPr id="0" name="image88.png"/>
        <xdr:cNvPicPr preferRelativeResize="0"/>
      </xdr:nvPicPr>
      <xdr:blipFill>
        <a:blip cstate="print" r:embed="rId90"/>
        <a:stretch>
          <a:fillRect/>
        </a:stretch>
      </xdr:blipFill>
      <xdr:spPr>
        <a:prstGeom prst="rect">
          <a:avLst/>
        </a:prstGeom>
        <a:noFill/>
      </xdr:spPr>
    </xdr:pic>
    <xdr:clientData fLocksWithSheet="0"/>
  </xdr:oneCellAnchor>
  <xdr:oneCellAnchor>
    <xdr:from>
      <xdr:col>2</xdr:col>
      <xdr:colOff>0</xdr:colOff>
      <xdr:row>94</xdr:row>
      <xdr:rowOff>0</xdr:rowOff>
    </xdr:from>
    <xdr:ext cx="714375" cy="714375"/>
    <xdr:pic>
      <xdr:nvPicPr>
        <xdr:cNvPr id="0" name="image107.png"/>
        <xdr:cNvPicPr preferRelativeResize="0"/>
      </xdr:nvPicPr>
      <xdr:blipFill>
        <a:blip cstate="print" r:embed="rId91"/>
        <a:stretch>
          <a:fillRect/>
        </a:stretch>
      </xdr:blipFill>
      <xdr:spPr>
        <a:prstGeom prst="rect">
          <a:avLst/>
        </a:prstGeom>
        <a:noFill/>
      </xdr:spPr>
    </xdr:pic>
    <xdr:clientData fLocksWithSheet="0"/>
  </xdr:oneCellAnchor>
  <xdr:oneCellAnchor>
    <xdr:from>
      <xdr:col>2</xdr:col>
      <xdr:colOff>0</xdr:colOff>
      <xdr:row>95</xdr:row>
      <xdr:rowOff>0</xdr:rowOff>
    </xdr:from>
    <xdr:ext cx="714375" cy="714375"/>
    <xdr:pic>
      <xdr:nvPicPr>
        <xdr:cNvPr id="0" name="image92.png"/>
        <xdr:cNvPicPr preferRelativeResize="0"/>
      </xdr:nvPicPr>
      <xdr:blipFill>
        <a:blip cstate="print" r:embed="rId92"/>
        <a:stretch>
          <a:fillRect/>
        </a:stretch>
      </xdr:blipFill>
      <xdr:spPr>
        <a:prstGeom prst="rect">
          <a:avLst/>
        </a:prstGeom>
        <a:noFill/>
      </xdr:spPr>
    </xdr:pic>
    <xdr:clientData fLocksWithSheet="0"/>
  </xdr:oneCellAnchor>
  <xdr:oneCellAnchor>
    <xdr:from>
      <xdr:col>2</xdr:col>
      <xdr:colOff>0</xdr:colOff>
      <xdr:row>96</xdr:row>
      <xdr:rowOff>0</xdr:rowOff>
    </xdr:from>
    <xdr:ext cx="714375" cy="714375"/>
    <xdr:pic>
      <xdr:nvPicPr>
        <xdr:cNvPr id="0" name="image96.png"/>
        <xdr:cNvPicPr preferRelativeResize="0"/>
      </xdr:nvPicPr>
      <xdr:blipFill>
        <a:blip cstate="print" r:embed="rId93"/>
        <a:stretch>
          <a:fillRect/>
        </a:stretch>
      </xdr:blipFill>
      <xdr:spPr>
        <a:prstGeom prst="rect">
          <a:avLst/>
        </a:prstGeom>
        <a:noFill/>
      </xdr:spPr>
    </xdr:pic>
    <xdr:clientData fLocksWithSheet="0"/>
  </xdr:oneCellAnchor>
  <xdr:oneCellAnchor>
    <xdr:from>
      <xdr:col>2</xdr:col>
      <xdr:colOff>0</xdr:colOff>
      <xdr:row>97</xdr:row>
      <xdr:rowOff>0</xdr:rowOff>
    </xdr:from>
    <xdr:ext cx="714375" cy="714375"/>
    <xdr:pic>
      <xdr:nvPicPr>
        <xdr:cNvPr id="0" name="image99.png"/>
        <xdr:cNvPicPr preferRelativeResize="0"/>
      </xdr:nvPicPr>
      <xdr:blipFill>
        <a:blip cstate="print" r:embed="rId94"/>
        <a:stretch>
          <a:fillRect/>
        </a:stretch>
      </xdr:blipFill>
      <xdr:spPr>
        <a:prstGeom prst="rect">
          <a:avLst/>
        </a:prstGeom>
        <a:noFill/>
      </xdr:spPr>
    </xdr:pic>
    <xdr:clientData fLocksWithSheet="0"/>
  </xdr:oneCellAnchor>
  <xdr:oneCellAnchor>
    <xdr:from>
      <xdr:col>2</xdr:col>
      <xdr:colOff>0</xdr:colOff>
      <xdr:row>98</xdr:row>
      <xdr:rowOff>0</xdr:rowOff>
    </xdr:from>
    <xdr:ext cx="714375" cy="714375"/>
    <xdr:pic>
      <xdr:nvPicPr>
        <xdr:cNvPr id="0" name="image90.png"/>
        <xdr:cNvPicPr preferRelativeResize="0"/>
      </xdr:nvPicPr>
      <xdr:blipFill>
        <a:blip cstate="print" r:embed="rId95"/>
        <a:stretch>
          <a:fillRect/>
        </a:stretch>
      </xdr:blipFill>
      <xdr:spPr>
        <a:prstGeom prst="rect">
          <a:avLst/>
        </a:prstGeom>
        <a:noFill/>
      </xdr:spPr>
    </xdr:pic>
    <xdr:clientData fLocksWithSheet="0"/>
  </xdr:oneCellAnchor>
  <xdr:oneCellAnchor>
    <xdr:from>
      <xdr:col>2</xdr:col>
      <xdr:colOff>0</xdr:colOff>
      <xdr:row>100</xdr:row>
      <xdr:rowOff>0</xdr:rowOff>
    </xdr:from>
    <xdr:ext cx="714375" cy="714375"/>
    <xdr:pic>
      <xdr:nvPicPr>
        <xdr:cNvPr id="0" name="image103.pn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0</xdr:colOff>
      <xdr:row>101</xdr:row>
      <xdr:rowOff>0</xdr:rowOff>
    </xdr:from>
    <xdr:ext cx="714375" cy="714375"/>
    <xdr:pic>
      <xdr:nvPicPr>
        <xdr:cNvPr id="0" name="image93.png"/>
        <xdr:cNvPicPr preferRelativeResize="0"/>
      </xdr:nvPicPr>
      <xdr:blipFill>
        <a:blip cstate="print" r:embed="rId97"/>
        <a:stretch>
          <a:fillRect/>
        </a:stretch>
      </xdr:blipFill>
      <xdr:spPr>
        <a:prstGeom prst="rect">
          <a:avLst/>
        </a:prstGeom>
        <a:noFill/>
      </xdr:spPr>
    </xdr:pic>
    <xdr:clientData fLocksWithSheet="0"/>
  </xdr:oneCellAnchor>
  <xdr:oneCellAnchor>
    <xdr:from>
      <xdr:col>2</xdr:col>
      <xdr:colOff>0</xdr:colOff>
      <xdr:row>102</xdr:row>
      <xdr:rowOff>0</xdr:rowOff>
    </xdr:from>
    <xdr:ext cx="714375" cy="714375"/>
    <xdr:pic>
      <xdr:nvPicPr>
        <xdr:cNvPr id="0" name="image95.png"/>
        <xdr:cNvPicPr preferRelativeResize="0"/>
      </xdr:nvPicPr>
      <xdr:blipFill>
        <a:blip cstate="print" r:embed="rId98"/>
        <a:stretch>
          <a:fillRect/>
        </a:stretch>
      </xdr:blipFill>
      <xdr:spPr>
        <a:prstGeom prst="rect">
          <a:avLst/>
        </a:prstGeom>
        <a:noFill/>
      </xdr:spPr>
    </xdr:pic>
    <xdr:clientData fLocksWithSheet="0"/>
  </xdr:oneCellAnchor>
  <xdr:oneCellAnchor>
    <xdr:from>
      <xdr:col>2</xdr:col>
      <xdr:colOff>0</xdr:colOff>
      <xdr:row>103</xdr:row>
      <xdr:rowOff>0</xdr:rowOff>
    </xdr:from>
    <xdr:ext cx="714375" cy="714375"/>
    <xdr:pic>
      <xdr:nvPicPr>
        <xdr:cNvPr id="0" name="image106.png"/>
        <xdr:cNvPicPr preferRelativeResize="0"/>
      </xdr:nvPicPr>
      <xdr:blipFill>
        <a:blip cstate="print" r:embed="rId99"/>
        <a:stretch>
          <a:fillRect/>
        </a:stretch>
      </xdr:blipFill>
      <xdr:spPr>
        <a:prstGeom prst="rect">
          <a:avLst/>
        </a:prstGeom>
        <a:noFill/>
      </xdr:spPr>
    </xdr:pic>
    <xdr:clientData fLocksWithSheet="0"/>
  </xdr:oneCellAnchor>
  <xdr:oneCellAnchor>
    <xdr:from>
      <xdr:col>2</xdr:col>
      <xdr:colOff>0</xdr:colOff>
      <xdr:row>104</xdr:row>
      <xdr:rowOff>0</xdr:rowOff>
    </xdr:from>
    <xdr:ext cx="714375" cy="714375"/>
    <xdr:pic>
      <xdr:nvPicPr>
        <xdr:cNvPr id="0" name="image87.png"/>
        <xdr:cNvPicPr preferRelativeResize="0"/>
      </xdr:nvPicPr>
      <xdr:blipFill>
        <a:blip cstate="print" r:embed="rId100"/>
        <a:stretch>
          <a:fillRect/>
        </a:stretch>
      </xdr:blipFill>
      <xdr:spPr>
        <a:prstGeom prst="rect">
          <a:avLst/>
        </a:prstGeom>
        <a:noFill/>
      </xdr:spPr>
    </xdr:pic>
    <xdr:clientData fLocksWithSheet="0"/>
  </xdr:oneCellAnchor>
  <xdr:oneCellAnchor>
    <xdr:from>
      <xdr:col>2</xdr:col>
      <xdr:colOff>0</xdr:colOff>
      <xdr:row>105</xdr:row>
      <xdr:rowOff>0</xdr:rowOff>
    </xdr:from>
    <xdr:ext cx="714375" cy="714375"/>
    <xdr:pic>
      <xdr:nvPicPr>
        <xdr:cNvPr id="0" name="image97.png"/>
        <xdr:cNvPicPr preferRelativeResize="0"/>
      </xdr:nvPicPr>
      <xdr:blipFill>
        <a:blip cstate="print" r:embed="rId101"/>
        <a:stretch>
          <a:fillRect/>
        </a:stretch>
      </xdr:blipFill>
      <xdr:spPr>
        <a:prstGeom prst="rect">
          <a:avLst/>
        </a:prstGeom>
        <a:noFill/>
      </xdr:spPr>
    </xdr:pic>
    <xdr:clientData fLocksWithSheet="0"/>
  </xdr:oneCellAnchor>
  <xdr:oneCellAnchor>
    <xdr:from>
      <xdr:col>2</xdr:col>
      <xdr:colOff>0</xdr:colOff>
      <xdr:row>106</xdr:row>
      <xdr:rowOff>0</xdr:rowOff>
    </xdr:from>
    <xdr:ext cx="714375" cy="714375"/>
    <xdr:pic>
      <xdr:nvPicPr>
        <xdr:cNvPr id="0" name="image91.png"/>
        <xdr:cNvPicPr preferRelativeResize="0"/>
      </xdr:nvPicPr>
      <xdr:blipFill>
        <a:blip cstate="print" r:embed="rId102"/>
        <a:stretch>
          <a:fillRect/>
        </a:stretch>
      </xdr:blipFill>
      <xdr:spPr>
        <a:prstGeom prst="rect">
          <a:avLst/>
        </a:prstGeom>
        <a:noFill/>
      </xdr:spPr>
    </xdr:pic>
    <xdr:clientData fLocksWithSheet="0"/>
  </xdr:oneCellAnchor>
  <xdr:oneCellAnchor>
    <xdr:from>
      <xdr:col>2</xdr:col>
      <xdr:colOff>0</xdr:colOff>
      <xdr:row>107</xdr:row>
      <xdr:rowOff>0</xdr:rowOff>
    </xdr:from>
    <xdr:ext cx="714375" cy="714375"/>
    <xdr:pic>
      <xdr:nvPicPr>
        <xdr:cNvPr id="0" name="image94.png"/>
        <xdr:cNvPicPr preferRelativeResize="0"/>
      </xdr:nvPicPr>
      <xdr:blipFill>
        <a:blip cstate="print" r:embed="rId103"/>
        <a:stretch>
          <a:fillRect/>
        </a:stretch>
      </xdr:blipFill>
      <xdr:spPr>
        <a:prstGeom prst="rect">
          <a:avLst/>
        </a:prstGeom>
        <a:noFill/>
      </xdr:spPr>
    </xdr:pic>
    <xdr:clientData fLocksWithSheet="0"/>
  </xdr:oneCellAnchor>
  <xdr:oneCellAnchor>
    <xdr:from>
      <xdr:col>2</xdr:col>
      <xdr:colOff>0</xdr:colOff>
      <xdr:row>108</xdr:row>
      <xdr:rowOff>0</xdr:rowOff>
    </xdr:from>
    <xdr:ext cx="714375" cy="714375"/>
    <xdr:pic>
      <xdr:nvPicPr>
        <xdr:cNvPr id="0" name="image102.png"/>
        <xdr:cNvPicPr preferRelativeResize="0"/>
      </xdr:nvPicPr>
      <xdr:blipFill>
        <a:blip cstate="print" r:embed="rId104"/>
        <a:stretch>
          <a:fillRect/>
        </a:stretch>
      </xdr:blipFill>
      <xdr:spPr>
        <a:prstGeom prst="rect">
          <a:avLst/>
        </a:prstGeom>
        <a:noFill/>
      </xdr:spPr>
    </xdr:pic>
    <xdr:clientData fLocksWithSheet="0"/>
  </xdr:oneCellAnchor>
  <xdr:oneCellAnchor>
    <xdr:from>
      <xdr:col>2</xdr:col>
      <xdr:colOff>0</xdr:colOff>
      <xdr:row>109</xdr:row>
      <xdr:rowOff>0</xdr:rowOff>
    </xdr:from>
    <xdr:ext cx="714375" cy="714375"/>
    <xdr:pic>
      <xdr:nvPicPr>
        <xdr:cNvPr id="0" name="image104.png"/>
        <xdr:cNvPicPr preferRelativeResize="0"/>
      </xdr:nvPicPr>
      <xdr:blipFill>
        <a:blip cstate="print" r:embed="rId105"/>
        <a:stretch>
          <a:fillRect/>
        </a:stretch>
      </xdr:blipFill>
      <xdr:spPr>
        <a:prstGeom prst="rect">
          <a:avLst/>
        </a:prstGeom>
        <a:noFill/>
      </xdr:spPr>
    </xdr:pic>
    <xdr:clientData fLocksWithSheet="0"/>
  </xdr:oneCellAnchor>
  <xdr:oneCellAnchor>
    <xdr:from>
      <xdr:col>2</xdr:col>
      <xdr:colOff>0</xdr:colOff>
      <xdr:row>110</xdr:row>
      <xdr:rowOff>0</xdr:rowOff>
    </xdr:from>
    <xdr:ext cx="714375" cy="714375"/>
    <xdr:pic>
      <xdr:nvPicPr>
        <xdr:cNvPr id="0" name="image98.png"/>
        <xdr:cNvPicPr preferRelativeResize="0"/>
      </xdr:nvPicPr>
      <xdr:blipFill>
        <a:blip cstate="print" r:embed="rId106"/>
        <a:stretch>
          <a:fillRect/>
        </a:stretch>
      </xdr:blipFill>
      <xdr:spPr>
        <a:prstGeom prst="rect">
          <a:avLst/>
        </a:prstGeom>
        <a:noFill/>
      </xdr:spPr>
    </xdr:pic>
    <xdr:clientData fLocksWithSheet="0"/>
  </xdr:oneCellAnchor>
  <xdr:oneCellAnchor>
    <xdr:from>
      <xdr:col>2</xdr:col>
      <xdr:colOff>0</xdr:colOff>
      <xdr:row>111</xdr:row>
      <xdr:rowOff>0</xdr:rowOff>
    </xdr:from>
    <xdr:ext cx="714375" cy="714375"/>
    <xdr:pic>
      <xdr:nvPicPr>
        <xdr:cNvPr id="0" name="image110.png"/>
        <xdr:cNvPicPr preferRelativeResize="0"/>
      </xdr:nvPicPr>
      <xdr:blipFill>
        <a:blip cstate="print" r:embed="rId107"/>
        <a:stretch>
          <a:fillRect/>
        </a:stretch>
      </xdr:blipFill>
      <xdr:spPr>
        <a:prstGeom prst="rect">
          <a:avLst/>
        </a:prstGeom>
        <a:noFill/>
      </xdr:spPr>
    </xdr:pic>
    <xdr:clientData fLocksWithSheet="0"/>
  </xdr:oneCellAnchor>
  <xdr:oneCellAnchor>
    <xdr:from>
      <xdr:col>2</xdr:col>
      <xdr:colOff>0</xdr:colOff>
      <xdr:row>112</xdr:row>
      <xdr:rowOff>0</xdr:rowOff>
    </xdr:from>
    <xdr:ext cx="714375" cy="714375"/>
    <xdr:pic>
      <xdr:nvPicPr>
        <xdr:cNvPr id="0" name="image101.png"/>
        <xdr:cNvPicPr preferRelativeResize="0"/>
      </xdr:nvPicPr>
      <xdr:blipFill>
        <a:blip cstate="print" r:embed="rId108"/>
        <a:stretch>
          <a:fillRect/>
        </a:stretch>
      </xdr:blipFill>
      <xdr:spPr>
        <a:prstGeom prst="rect">
          <a:avLst/>
        </a:prstGeom>
        <a:noFill/>
      </xdr:spPr>
    </xdr:pic>
    <xdr:clientData fLocksWithSheet="0"/>
  </xdr:oneCellAnchor>
  <xdr:oneCellAnchor>
    <xdr:from>
      <xdr:col>2</xdr:col>
      <xdr:colOff>0</xdr:colOff>
      <xdr:row>113</xdr:row>
      <xdr:rowOff>0</xdr:rowOff>
    </xdr:from>
    <xdr:ext cx="714375" cy="714375"/>
    <xdr:pic>
      <xdr:nvPicPr>
        <xdr:cNvPr id="0" name="image105.png"/>
        <xdr:cNvPicPr preferRelativeResize="0"/>
      </xdr:nvPicPr>
      <xdr:blipFill>
        <a:blip cstate="print" r:embed="rId109"/>
        <a:stretch>
          <a:fillRect/>
        </a:stretch>
      </xdr:blipFill>
      <xdr:spPr>
        <a:prstGeom prst="rect">
          <a:avLst/>
        </a:prstGeom>
        <a:noFill/>
      </xdr:spPr>
    </xdr:pic>
    <xdr:clientData fLocksWithSheet="0"/>
  </xdr:oneCellAnchor>
  <xdr:oneCellAnchor>
    <xdr:from>
      <xdr:col>2</xdr:col>
      <xdr:colOff>0</xdr:colOff>
      <xdr:row>114</xdr:row>
      <xdr:rowOff>0</xdr:rowOff>
    </xdr:from>
    <xdr:ext cx="714375" cy="714375"/>
    <xdr:pic>
      <xdr:nvPicPr>
        <xdr:cNvPr id="0" name="image100.png"/>
        <xdr:cNvPicPr preferRelativeResize="0"/>
      </xdr:nvPicPr>
      <xdr:blipFill>
        <a:blip cstate="print" r:embed="rId110"/>
        <a:stretch>
          <a:fillRect/>
        </a:stretch>
      </xdr:blipFill>
      <xdr:spPr>
        <a:prstGeom prst="rect">
          <a:avLst/>
        </a:prstGeom>
        <a:noFill/>
      </xdr:spPr>
    </xdr:pic>
    <xdr:clientData fLocksWithSheet="0"/>
  </xdr:oneCellAnchor>
  <xdr:oneCellAnchor>
    <xdr:from>
      <xdr:col>2</xdr:col>
      <xdr:colOff>0</xdr:colOff>
      <xdr:row>115</xdr:row>
      <xdr:rowOff>0</xdr:rowOff>
    </xdr:from>
    <xdr:ext cx="714375" cy="714375"/>
    <xdr:pic>
      <xdr:nvPicPr>
        <xdr:cNvPr id="0" name="image111.png"/>
        <xdr:cNvPicPr preferRelativeResize="0"/>
      </xdr:nvPicPr>
      <xdr:blipFill>
        <a:blip cstate="print" r:embed="rId111"/>
        <a:stretch>
          <a:fillRect/>
        </a:stretch>
      </xdr:blipFill>
      <xdr:spPr>
        <a:prstGeom prst="rect">
          <a:avLst/>
        </a:prstGeom>
        <a:noFill/>
      </xdr:spPr>
    </xdr:pic>
    <xdr:clientData fLocksWithSheet="0"/>
  </xdr:oneCellAnchor>
  <xdr:oneCellAnchor>
    <xdr:from>
      <xdr:col>2</xdr:col>
      <xdr:colOff>0</xdr:colOff>
      <xdr:row>116</xdr:row>
      <xdr:rowOff>0</xdr:rowOff>
    </xdr:from>
    <xdr:ext cx="714375" cy="714375"/>
    <xdr:pic>
      <xdr:nvPicPr>
        <xdr:cNvPr id="0" name="image108.png"/>
        <xdr:cNvPicPr preferRelativeResize="0"/>
      </xdr:nvPicPr>
      <xdr:blipFill>
        <a:blip cstate="print" r:embed="rId112"/>
        <a:stretch>
          <a:fillRect/>
        </a:stretch>
      </xdr:blipFill>
      <xdr:spPr>
        <a:prstGeom prst="rect">
          <a:avLst/>
        </a:prstGeom>
        <a:noFill/>
      </xdr:spPr>
    </xdr:pic>
    <xdr:clientData fLocksWithSheet="0"/>
  </xdr:oneCellAnchor>
  <xdr:oneCellAnchor>
    <xdr:from>
      <xdr:col>2</xdr:col>
      <xdr:colOff>0</xdr:colOff>
      <xdr:row>117</xdr:row>
      <xdr:rowOff>0</xdr:rowOff>
    </xdr:from>
    <xdr:ext cx="714375" cy="714375"/>
    <xdr:pic>
      <xdr:nvPicPr>
        <xdr:cNvPr id="0" name="image118.png"/>
        <xdr:cNvPicPr preferRelativeResize="0"/>
      </xdr:nvPicPr>
      <xdr:blipFill>
        <a:blip cstate="print" r:embed="rId113"/>
        <a:stretch>
          <a:fillRect/>
        </a:stretch>
      </xdr:blipFill>
      <xdr:spPr>
        <a:prstGeom prst="rect">
          <a:avLst/>
        </a:prstGeom>
        <a:noFill/>
      </xdr:spPr>
    </xdr:pic>
    <xdr:clientData fLocksWithSheet="0"/>
  </xdr:oneCellAnchor>
  <xdr:oneCellAnchor>
    <xdr:from>
      <xdr:col>2</xdr:col>
      <xdr:colOff>0</xdr:colOff>
      <xdr:row>118</xdr:row>
      <xdr:rowOff>0</xdr:rowOff>
    </xdr:from>
    <xdr:ext cx="714375" cy="714375"/>
    <xdr:pic>
      <xdr:nvPicPr>
        <xdr:cNvPr id="0" name="image109.png"/>
        <xdr:cNvPicPr preferRelativeResize="0"/>
      </xdr:nvPicPr>
      <xdr:blipFill>
        <a:blip cstate="print" r:embed="rId114"/>
        <a:stretch>
          <a:fillRect/>
        </a:stretch>
      </xdr:blipFill>
      <xdr:spPr>
        <a:prstGeom prst="rect">
          <a:avLst/>
        </a:prstGeom>
        <a:noFill/>
      </xdr:spPr>
    </xdr:pic>
    <xdr:clientData fLocksWithSheet="0"/>
  </xdr:oneCellAnchor>
  <xdr:oneCellAnchor>
    <xdr:from>
      <xdr:col>2</xdr:col>
      <xdr:colOff>0</xdr:colOff>
      <xdr:row>119</xdr:row>
      <xdr:rowOff>0</xdr:rowOff>
    </xdr:from>
    <xdr:ext cx="714375" cy="714375"/>
    <xdr:pic>
      <xdr:nvPicPr>
        <xdr:cNvPr id="0" name="image115.png"/>
        <xdr:cNvPicPr preferRelativeResize="0"/>
      </xdr:nvPicPr>
      <xdr:blipFill>
        <a:blip cstate="print" r:embed="rId115"/>
        <a:stretch>
          <a:fillRect/>
        </a:stretch>
      </xdr:blipFill>
      <xdr:spPr>
        <a:prstGeom prst="rect">
          <a:avLst/>
        </a:prstGeom>
        <a:noFill/>
      </xdr:spPr>
    </xdr:pic>
    <xdr:clientData fLocksWithSheet="0"/>
  </xdr:oneCellAnchor>
  <xdr:oneCellAnchor>
    <xdr:from>
      <xdr:col>2</xdr:col>
      <xdr:colOff>0</xdr:colOff>
      <xdr:row>120</xdr:row>
      <xdr:rowOff>0</xdr:rowOff>
    </xdr:from>
    <xdr:ext cx="714375" cy="714375"/>
    <xdr:pic>
      <xdr:nvPicPr>
        <xdr:cNvPr id="0" name="image113.png"/>
        <xdr:cNvPicPr preferRelativeResize="0"/>
      </xdr:nvPicPr>
      <xdr:blipFill>
        <a:blip cstate="print" r:embed="rId116"/>
        <a:stretch>
          <a:fillRect/>
        </a:stretch>
      </xdr:blipFill>
      <xdr:spPr>
        <a:prstGeom prst="rect">
          <a:avLst/>
        </a:prstGeom>
        <a:noFill/>
      </xdr:spPr>
    </xdr:pic>
    <xdr:clientData fLocksWithSheet="0"/>
  </xdr:oneCellAnchor>
  <xdr:oneCellAnchor>
    <xdr:from>
      <xdr:col>2</xdr:col>
      <xdr:colOff>0</xdr:colOff>
      <xdr:row>121</xdr:row>
      <xdr:rowOff>0</xdr:rowOff>
    </xdr:from>
    <xdr:ext cx="714375" cy="714375"/>
    <xdr:pic>
      <xdr:nvPicPr>
        <xdr:cNvPr id="0" name="image117.png"/>
        <xdr:cNvPicPr preferRelativeResize="0"/>
      </xdr:nvPicPr>
      <xdr:blipFill>
        <a:blip cstate="print" r:embed="rId117"/>
        <a:stretch>
          <a:fillRect/>
        </a:stretch>
      </xdr:blipFill>
      <xdr:spPr>
        <a:prstGeom prst="rect">
          <a:avLst/>
        </a:prstGeom>
        <a:noFill/>
      </xdr:spPr>
    </xdr:pic>
    <xdr:clientData fLocksWithSheet="0"/>
  </xdr:oneCellAnchor>
  <xdr:oneCellAnchor>
    <xdr:from>
      <xdr:col>2</xdr:col>
      <xdr:colOff>0</xdr:colOff>
      <xdr:row>122</xdr:row>
      <xdr:rowOff>0</xdr:rowOff>
    </xdr:from>
    <xdr:ext cx="714375" cy="714375"/>
    <xdr:pic>
      <xdr:nvPicPr>
        <xdr:cNvPr id="0" name="image112.png"/>
        <xdr:cNvPicPr preferRelativeResize="0"/>
      </xdr:nvPicPr>
      <xdr:blipFill>
        <a:blip cstate="print" r:embed="rId118"/>
        <a:stretch>
          <a:fillRect/>
        </a:stretch>
      </xdr:blipFill>
      <xdr:spPr>
        <a:prstGeom prst="rect">
          <a:avLst/>
        </a:prstGeom>
        <a:noFill/>
      </xdr:spPr>
    </xdr:pic>
    <xdr:clientData fLocksWithSheet="0"/>
  </xdr:oneCellAnchor>
  <xdr:oneCellAnchor>
    <xdr:from>
      <xdr:col>2</xdr:col>
      <xdr:colOff>0</xdr:colOff>
      <xdr:row>123</xdr:row>
      <xdr:rowOff>0</xdr:rowOff>
    </xdr:from>
    <xdr:ext cx="714375" cy="714375"/>
    <xdr:pic>
      <xdr:nvPicPr>
        <xdr:cNvPr id="0" name="image114.png"/>
        <xdr:cNvPicPr preferRelativeResize="0"/>
      </xdr:nvPicPr>
      <xdr:blipFill>
        <a:blip cstate="print" r:embed="rId119"/>
        <a:stretch>
          <a:fillRect/>
        </a:stretch>
      </xdr:blipFill>
      <xdr:spPr>
        <a:prstGeom prst="rect">
          <a:avLst/>
        </a:prstGeom>
        <a:noFill/>
      </xdr:spPr>
    </xdr:pic>
    <xdr:clientData fLocksWithSheet="0"/>
  </xdr:oneCellAnchor>
  <xdr:oneCellAnchor>
    <xdr:from>
      <xdr:col>2</xdr:col>
      <xdr:colOff>0</xdr:colOff>
      <xdr:row>124</xdr:row>
      <xdr:rowOff>0</xdr:rowOff>
    </xdr:from>
    <xdr:ext cx="714375" cy="714375"/>
    <xdr:pic>
      <xdr:nvPicPr>
        <xdr:cNvPr id="0" name="image116.png"/>
        <xdr:cNvPicPr preferRelativeResize="0"/>
      </xdr:nvPicPr>
      <xdr:blipFill>
        <a:blip cstate="print" r:embed="rId120"/>
        <a:stretch>
          <a:fillRect/>
        </a:stretch>
      </xdr:blipFill>
      <xdr:spPr>
        <a:prstGeom prst="rect">
          <a:avLst/>
        </a:prstGeom>
        <a:noFill/>
      </xdr:spPr>
    </xdr:pic>
    <xdr:clientData fLocksWithSheet="0"/>
  </xdr:oneCellAnchor>
  <xdr:oneCellAnchor>
    <xdr:from>
      <xdr:col>2</xdr:col>
      <xdr:colOff>0</xdr:colOff>
      <xdr:row>125</xdr:row>
      <xdr:rowOff>0</xdr:rowOff>
    </xdr:from>
    <xdr:ext cx="714375" cy="714375"/>
    <xdr:pic>
      <xdr:nvPicPr>
        <xdr:cNvPr id="0" name="image127.png"/>
        <xdr:cNvPicPr preferRelativeResize="0"/>
      </xdr:nvPicPr>
      <xdr:blipFill>
        <a:blip cstate="print" r:embed="rId121"/>
        <a:stretch>
          <a:fillRect/>
        </a:stretch>
      </xdr:blipFill>
      <xdr:spPr>
        <a:prstGeom prst="rect">
          <a:avLst/>
        </a:prstGeom>
        <a:noFill/>
      </xdr:spPr>
    </xdr:pic>
    <xdr:clientData fLocksWithSheet="0"/>
  </xdr:oneCellAnchor>
  <xdr:oneCellAnchor>
    <xdr:from>
      <xdr:col>2</xdr:col>
      <xdr:colOff>0</xdr:colOff>
      <xdr:row>126</xdr:row>
      <xdr:rowOff>0</xdr:rowOff>
    </xdr:from>
    <xdr:ext cx="714375" cy="714375"/>
    <xdr:pic>
      <xdr:nvPicPr>
        <xdr:cNvPr id="0" name="image119.png"/>
        <xdr:cNvPicPr preferRelativeResize="0"/>
      </xdr:nvPicPr>
      <xdr:blipFill>
        <a:blip cstate="print" r:embed="rId122"/>
        <a:stretch>
          <a:fillRect/>
        </a:stretch>
      </xdr:blipFill>
      <xdr:spPr>
        <a:prstGeom prst="rect">
          <a:avLst/>
        </a:prstGeom>
        <a:noFill/>
      </xdr:spPr>
    </xdr:pic>
    <xdr:clientData fLocksWithSheet="0"/>
  </xdr:oneCellAnchor>
  <xdr:oneCellAnchor>
    <xdr:from>
      <xdr:col>2</xdr:col>
      <xdr:colOff>0</xdr:colOff>
      <xdr:row>127</xdr:row>
      <xdr:rowOff>0</xdr:rowOff>
    </xdr:from>
    <xdr:ext cx="714375" cy="714375"/>
    <xdr:pic>
      <xdr:nvPicPr>
        <xdr:cNvPr id="0" name="image122.png"/>
        <xdr:cNvPicPr preferRelativeResize="0"/>
      </xdr:nvPicPr>
      <xdr:blipFill>
        <a:blip cstate="print" r:embed="rId123"/>
        <a:stretch>
          <a:fillRect/>
        </a:stretch>
      </xdr:blipFill>
      <xdr:spPr>
        <a:prstGeom prst="rect">
          <a:avLst/>
        </a:prstGeom>
        <a:noFill/>
      </xdr:spPr>
    </xdr:pic>
    <xdr:clientData fLocksWithSheet="0"/>
  </xdr:oneCellAnchor>
  <xdr:oneCellAnchor>
    <xdr:from>
      <xdr:col>2</xdr:col>
      <xdr:colOff>0</xdr:colOff>
      <xdr:row>128</xdr:row>
      <xdr:rowOff>0</xdr:rowOff>
    </xdr:from>
    <xdr:ext cx="714375" cy="714375"/>
    <xdr:pic>
      <xdr:nvPicPr>
        <xdr:cNvPr id="0" name="image121.png"/>
        <xdr:cNvPicPr preferRelativeResize="0"/>
      </xdr:nvPicPr>
      <xdr:blipFill>
        <a:blip cstate="print" r:embed="rId124"/>
        <a:stretch>
          <a:fillRect/>
        </a:stretch>
      </xdr:blipFill>
      <xdr:spPr>
        <a:prstGeom prst="rect">
          <a:avLst/>
        </a:prstGeom>
        <a:noFill/>
      </xdr:spPr>
    </xdr:pic>
    <xdr:clientData fLocksWithSheet="0"/>
  </xdr:oneCellAnchor>
  <xdr:oneCellAnchor>
    <xdr:from>
      <xdr:col>2</xdr:col>
      <xdr:colOff>0</xdr:colOff>
      <xdr:row>129</xdr:row>
      <xdr:rowOff>0</xdr:rowOff>
    </xdr:from>
    <xdr:ext cx="714375" cy="714375"/>
    <xdr:pic>
      <xdr:nvPicPr>
        <xdr:cNvPr id="0" name="image120.png"/>
        <xdr:cNvPicPr preferRelativeResize="0"/>
      </xdr:nvPicPr>
      <xdr:blipFill>
        <a:blip cstate="print" r:embed="rId125"/>
        <a:stretch>
          <a:fillRect/>
        </a:stretch>
      </xdr:blipFill>
      <xdr:spPr>
        <a:prstGeom prst="rect">
          <a:avLst/>
        </a:prstGeom>
        <a:noFill/>
      </xdr:spPr>
    </xdr:pic>
    <xdr:clientData fLocksWithSheet="0"/>
  </xdr:oneCellAnchor>
  <xdr:oneCellAnchor>
    <xdr:from>
      <xdr:col>2</xdr:col>
      <xdr:colOff>0</xdr:colOff>
      <xdr:row>130</xdr:row>
      <xdr:rowOff>0</xdr:rowOff>
    </xdr:from>
    <xdr:ext cx="714375" cy="714375"/>
    <xdr:pic>
      <xdr:nvPicPr>
        <xdr:cNvPr id="0" name="image128.png"/>
        <xdr:cNvPicPr preferRelativeResize="0"/>
      </xdr:nvPicPr>
      <xdr:blipFill>
        <a:blip cstate="print" r:embed="rId126"/>
        <a:stretch>
          <a:fillRect/>
        </a:stretch>
      </xdr:blipFill>
      <xdr:spPr>
        <a:prstGeom prst="rect">
          <a:avLst/>
        </a:prstGeom>
        <a:noFill/>
      </xdr:spPr>
    </xdr:pic>
    <xdr:clientData fLocksWithSheet="0"/>
  </xdr:oneCellAnchor>
  <xdr:oneCellAnchor>
    <xdr:from>
      <xdr:col>2</xdr:col>
      <xdr:colOff>0</xdr:colOff>
      <xdr:row>131</xdr:row>
      <xdr:rowOff>0</xdr:rowOff>
    </xdr:from>
    <xdr:ext cx="714375" cy="714375"/>
    <xdr:pic>
      <xdr:nvPicPr>
        <xdr:cNvPr id="0" name="image125.png"/>
        <xdr:cNvPicPr preferRelativeResize="0"/>
      </xdr:nvPicPr>
      <xdr:blipFill>
        <a:blip cstate="print" r:embed="rId127"/>
        <a:stretch>
          <a:fillRect/>
        </a:stretch>
      </xdr:blipFill>
      <xdr:spPr>
        <a:prstGeom prst="rect">
          <a:avLst/>
        </a:prstGeom>
        <a:noFill/>
      </xdr:spPr>
    </xdr:pic>
    <xdr:clientData fLocksWithSheet="0"/>
  </xdr:oneCellAnchor>
  <xdr:oneCellAnchor>
    <xdr:from>
      <xdr:col>2</xdr:col>
      <xdr:colOff>0</xdr:colOff>
      <xdr:row>132</xdr:row>
      <xdr:rowOff>0</xdr:rowOff>
    </xdr:from>
    <xdr:ext cx="714375" cy="714375"/>
    <xdr:pic>
      <xdr:nvPicPr>
        <xdr:cNvPr id="0" name="image123.png"/>
        <xdr:cNvPicPr preferRelativeResize="0"/>
      </xdr:nvPicPr>
      <xdr:blipFill>
        <a:blip cstate="print" r:embed="rId128"/>
        <a:stretch>
          <a:fillRect/>
        </a:stretch>
      </xdr:blipFill>
      <xdr:spPr>
        <a:prstGeom prst="rect">
          <a:avLst/>
        </a:prstGeom>
        <a:noFill/>
      </xdr:spPr>
    </xdr:pic>
    <xdr:clientData fLocksWithSheet="0"/>
  </xdr:oneCellAnchor>
  <xdr:oneCellAnchor>
    <xdr:from>
      <xdr:col>2</xdr:col>
      <xdr:colOff>0</xdr:colOff>
      <xdr:row>133</xdr:row>
      <xdr:rowOff>0</xdr:rowOff>
    </xdr:from>
    <xdr:ext cx="714375" cy="714375"/>
    <xdr:pic>
      <xdr:nvPicPr>
        <xdr:cNvPr id="0" name="image126.png"/>
        <xdr:cNvPicPr preferRelativeResize="0"/>
      </xdr:nvPicPr>
      <xdr:blipFill>
        <a:blip cstate="print" r:embed="rId129"/>
        <a:stretch>
          <a:fillRect/>
        </a:stretch>
      </xdr:blipFill>
      <xdr:spPr>
        <a:prstGeom prst="rect">
          <a:avLst/>
        </a:prstGeom>
        <a:noFill/>
      </xdr:spPr>
    </xdr:pic>
    <xdr:clientData fLocksWithSheet="0"/>
  </xdr:oneCellAnchor>
  <xdr:oneCellAnchor>
    <xdr:from>
      <xdr:col>2</xdr:col>
      <xdr:colOff>0</xdr:colOff>
      <xdr:row>134</xdr:row>
      <xdr:rowOff>0</xdr:rowOff>
    </xdr:from>
    <xdr:ext cx="714375" cy="714375"/>
    <xdr:pic>
      <xdr:nvPicPr>
        <xdr:cNvPr id="0" name="image124.png"/>
        <xdr:cNvPicPr preferRelativeResize="0"/>
      </xdr:nvPicPr>
      <xdr:blipFill>
        <a:blip cstate="print" r:embed="rId130"/>
        <a:stretch>
          <a:fillRect/>
        </a:stretch>
      </xdr:blipFill>
      <xdr:spPr>
        <a:prstGeom prst="rect">
          <a:avLst/>
        </a:prstGeom>
        <a:noFill/>
      </xdr:spPr>
    </xdr:pic>
    <xdr:clientData fLocksWithSheet="0"/>
  </xdr:oneCellAnchor>
  <xdr:oneCellAnchor>
    <xdr:from>
      <xdr:col>2</xdr:col>
      <xdr:colOff>0</xdr:colOff>
      <xdr:row>135</xdr:row>
      <xdr:rowOff>0</xdr:rowOff>
    </xdr:from>
    <xdr:ext cx="714375" cy="714375"/>
    <xdr:pic>
      <xdr:nvPicPr>
        <xdr:cNvPr id="0" name="image130.png"/>
        <xdr:cNvPicPr preferRelativeResize="0"/>
      </xdr:nvPicPr>
      <xdr:blipFill>
        <a:blip cstate="print" r:embed="rId131"/>
        <a:stretch>
          <a:fillRect/>
        </a:stretch>
      </xdr:blipFill>
      <xdr:spPr>
        <a:prstGeom prst="rect">
          <a:avLst/>
        </a:prstGeom>
        <a:noFill/>
      </xdr:spPr>
    </xdr:pic>
    <xdr:clientData fLocksWithSheet="0"/>
  </xdr:oneCellAnchor>
  <xdr:oneCellAnchor>
    <xdr:from>
      <xdr:col>2</xdr:col>
      <xdr:colOff>0</xdr:colOff>
      <xdr:row>136</xdr:row>
      <xdr:rowOff>0</xdr:rowOff>
    </xdr:from>
    <xdr:ext cx="714375" cy="714375"/>
    <xdr:pic>
      <xdr:nvPicPr>
        <xdr:cNvPr id="0" name="image129.png"/>
        <xdr:cNvPicPr preferRelativeResize="0"/>
      </xdr:nvPicPr>
      <xdr:blipFill>
        <a:blip cstate="print" r:embed="rId132"/>
        <a:stretch>
          <a:fillRect/>
        </a:stretch>
      </xdr:blipFill>
      <xdr:spPr>
        <a:prstGeom prst="rect">
          <a:avLst/>
        </a:prstGeom>
        <a:noFill/>
      </xdr:spPr>
    </xdr:pic>
    <xdr:clientData fLocksWithSheet="0"/>
  </xdr:oneCellAnchor>
  <xdr:oneCellAnchor>
    <xdr:from>
      <xdr:col>2</xdr:col>
      <xdr:colOff>0</xdr:colOff>
      <xdr:row>137</xdr:row>
      <xdr:rowOff>0</xdr:rowOff>
    </xdr:from>
    <xdr:ext cx="714375" cy="714375"/>
    <xdr:pic>
      <xdr:nvPicPr>
        <xdr:cNvPr id="0" name="image133.png"/>
        <xdr:cNvPicPr preferRelativeResize="0"/>
      </xdr:nvPicPr>
      <xdr:blipFill>
        <a:blip cstate="print" r:embed="rId133"/>
        <a:stretch>
          <a:fillRect/>
        </a:stretch>
      </xdr:blipFill>
      <xdr:spPr>
        <a:prstGeom prst="rect">
          <a:avLst/>
        </a:prstGeom>
        <a:noFill/>
      </xdr:spPr>
    </xdr:pic>
    <xdr:clientData fLocksWithSheet="0"/>
  </xdr:oneCellAnchor>
  <xdr:oneCellAnchor>
    <xdr:from>
      <xdr:col>2</xdr:col>
      <xdr:colOff>0</xdr:colOff>
      <xdr:row>138</xdr:row>
      <xdr:rowOff>0</xdr:rowOff>
    </xdr:from>
    <xdr:ext cx="714375" cy="714375"/>
    <xdr:pic>
      <xdr:nvPicPr>
        <xdr:cNvPr id="0" name="image131.png"/>
        <xdr:cNvPicPr preferRelativeResize="0"/>
      </xdr:nvPicPr>
      <xdr:blipFill>
        <a:blip cstate="print" r:embed="rId134"/>
        <a:stretch>
          <a:fillRect/>
        </a:stretch>
      </xdr:blipFill>
      <xdr:spPr>
        <a:prstGeom prst="rect">
          <a:avLst/>
        </a:prstGeom>
        <a:noFill/>
      </xdr:spPr>
    </xdr:pic>
    <xdr:clientData fLocksWithSheet="0"/>
  </xdr:oneCellAnchor>
  <xdr:oneCellAnchor>
    <xdr:from>
      <xdr:col>2</xdr:col>
      <xdr:colOff>0</xdr:colOff>
      <xdr:row>139</xdr:row>
      <xdr:rowOff>0</xdr:rowOff>
    </xdr:from>
    <xdr:ext cx="714375" cy="714375"/>
    <xdr:pic>
      <xdr:nvPicPr>
        <xdr:cNvPr id="0" name="image248.png"/>
        <xdr:cNvPicPr preferRelativeResize="0"/>
      </xdr:nvPicPr>
      <xdr:blipFill>
        <a:blip cstate="print" r:embed="rId135"/>
        <a:stretch>
          <a:fillRect/>
        </a:stretch>
      </xdr:blipFill>
      <xdr:spPr>
        <a:prstGeom prst="rect">
          <a:avLst/>
        </a:prstGeom>
        <a:noFill/>
      </xdr:spPr>
    </xdr:pic>
    <xdr:clientData fLocksWithSheet="0"/>
  </xdr:oneCellAnchor>
  <xdr:oneCellAnchor>
    <xdr:from>
      <xdr:col>2</xdr:col>
      <xdr:colOff>0</xdr:colOff>
      <xdr:row>140</xdr:row>
      <xdr:rowOff>0</xdr:rowOff>
    </xdr:from>
    <xdr:ext cx="714375" cy="714375"/>
    <xdr:pic>
      <xdr:nvPicPr>
        <xdr:cNvPr id="0" name="image137.png"/>
        <xdr:cNvPicPr preferRelativeResize="0"/>
      </xdr:nvPicPr>
      <xdr:blipFill>
        <a:blip cstate="print" r:embed="rId136"/>
        <a:stretch>
          <a:fillRect/>
        </a:stretch>
      </xdr:blipFill>
      <xdr:spPr>
        <a:prstGeom prst="rect">
          <a:avLst/>
        </a:prstGeom>
        <a:noFill/>
      </xdr:spPr>
    </xdr:pic>
    <xdr:clientData fLocksWithSheet="0"/>
  </xdr:oneCellAnchor>
  <xdr:oneCellAnchor>
    <xdr:from>
      <xdr:col>2</xdr:col>
      <xdr:colOff>0</xdr:colOff>
      <xdr:row>142</xdr:row>
      <xdr:rowOff>0</xdr:rowOff>
    </xdr:from>
    <xdr:ext cx="714375" cy="714375"/>
    <xdr:pic>
      <xdr:nvPicPr>
        <xdr:cNvPr id="0" name="image171.png"/>
        <xdr:cNvPicPr preferRelativeResize="0"/>
      </xdr:nvPicPr>
      <xdr:blipFill>
        <a:blip cstate="print" r:embed="rId137"/>
        <a:stretch>
          <a:fillRect/>
        </a:stretch>
      </xdr:blipFill>
      <xdr:spPr>
        <a:prstGeom prst="rect">
          <a:avLst/>
        </a:prstGeom>
        <a:noFill/>
      </xdr:spPr>
    </xdr:pic>
    <xdr:clientData fLocksWithSheet="0"/>
  </xdr:oneCellAnchor>
  <xdr:oneCellAnchor>
    <xdr:from>
      <xdr:col>2</xdr:col>
      <xdr:colOff>0</xdr:colOff>
      <xdr:row>143</xdr:row>
      <xdr:rowOff>0</xdr:rowOff>
    </xdr:from>
    <xdr:ext cx="714375" cy="714375"/>
    <xdr:pic>
      <xdr:nvPicPr>
        <xdr:cNvPr id="0" name="image144.png"/>
        <xdr:cNvPicPr preferRelativeResize="0"/>
      </xdr:nvPicPr>
      <xdr:blipFill>
        <a:blip cstate="print" r:embed="rId138"/>
        <a:stretch>
          <a:fillRect/>
        </a:stretch>
      </xdr:blipFill>
      <xdr:spPr>
        <a:prstGeom prst="rect">
          <a:avLst/>
        </a:prstGeom>
        <a:noFill/>
      </xdr:spPr>
    </xdr:pic>
    <xdr:clientData fLocksWithSheet="0"/>
  </xdr:oneCellAnchor>
  <xdr:oneCellAnchor>
    <xdr:from>
      <xdr:col>2</xdr:col>
      <xdr:colOff>0</xdr:colOff>
      <xdr:row>144</xdr:row>
      <xdr:rowOff>0</xdr:rowOff>
    </xdr:from>
    <xdr:ext cx="714375" cy="714375"/>
    <xdr:pic>
      <xdr:nvPicPr>
        <xdr:cNvPr id="0" name="image142.png"/>
        <xdr:cNvPicPr preferRelativeResize="0"/>
      </xdr:nvPicPr>
      <xdr:blipFill>
        <a:blip cstate="print" r:embed="rId139"/>
        <a:stretch>
          <a:fillRect/>
        </a:stretch>
      </xdr:blipFill>
      <xdr:spPr>
        <a:prstGeom prst="rect">
          <a:avLst/>
        </a:prstGeom>
        <a:noFill/>
      </xdr:spPr>
    </xdr:pic>
    <xdr:clientData fLocksWithSheet="0"/>
  </xdr:oneCellAnchor>
  <xdr:oneCellAnchor>
    <xdr:from>
      <xdr:col>2</xdr:col>
      <xdr:colOff>0</xdr:colOff>
      <xdr:row>145</xdr:row>
      <xdr:rowOff>0</xdr:rowOff>
    </xdr:from>
    <xdr:ext cx="714375" cy="714375"/>
    <xdr:pic>
      <xdr:nvPicPr>
        <xdr:cNvPr id="0" name="image132.png"/>
        <xdr:cNvPicPr preferRelativeResize="0"/>
      </xdr:nvPicPr>
      <xdr:blipFill>
        <a:blip cstate="print" r:embed="rId140"/>
        <a:stretch>
          <a:fillRect/>
        </a:stretch>
      </xdr:blipFill>
      <xdr:spPr>
        <a:prstGeom prst="rect">
          <a:avLst/>
        </a:prstGeom>
        <a:noFill/>
      </xdr:spPr>
    </xdr:pic>
    <xdr:clientData fLocksWithSheet="0"/>
  </xdr:oneCellAnchor>
  <xdr:oneCellAnchor>
    <xdr:from>
      <xdr:col>2</xdr:col>
      <xdr:colOff>0</xdr:colOff>
      <xdr:row>146</xdr:row>
      <xdr:rowOff>0</xdr:rowOff>
    </xdr:from>
    <xdr:ext cx="714375" cy="714375"/>
    <xdr:pic>
      <xdr:nvPicPr>
        <xdr:cNvPr id="0" name="image139.png"/>
        <xdr:cNvPicPr preferRelativeResize="0"/>
      </xdr:nvPicPr>
      <xdr:blipFill>
        <a:blip cstate="print" r:embed="rId141"/>
        <a:stretch>
          <a:fillRect/>
        </a:stretch>
      </xdr:blipFill>
      <xdr:spPr>
        <a:prstGeom prst="rect">
          <a:avLst/>
        </a:prstGeom>
        <a:noFill/>
      </xdr:spPr>
    </xdr:pic>
    <xdr:clientData fLocksWithSheet="0"/>
  </xdr:oneCellAnchor>
  <xdr:oneCellAnchor>
    <xdr:from>
      <xdr:col>2</xdr:col>
      <xdr:colOff>0</xdr:colOff>
      <xdr:row>147</xdr:row>
      <xdr:rowOff>0</xdr:rowOff>
    </xdr:from>
    <xdr:ext cx="714375" cy="714375"/>
    <xdr:pic>
      <xdr:nvPicPr>
        <xdr:cNvPr id="0" name="image134.png"/>
        <xdr:cNvPicPr preferRelativeResize="0"/>
      </xdr:nvPicPr>
      <xdr:blipFill>
        <a:blip cstate="print" r:embed="rId142"/>
        <a:stretch>
          <a:fillRect/>
        </a:stretch>
      </xdr:blipFill>
      <xdr:spPr>
        <a:prstGeom prst="rect">
          <a:avLst/>
        </a:prstGeom>
        <a:noFill/>
      </xdr:spPr>
    </xdr:pic>
    <xdr:clientData fLocksWithSheet="0"/>
  </xdr:oneCellAnchor>
  <xdr:oneCellAnchor>
    <xdr:from>
      <xdr:col>2</xdr:col>
      <xdr:colOff>0</xdr:colOff>
      <xdr:row>148</xdr:row>
      <xdr:rowOff>0</xdr:rowOff>
    </xdr:from>
    <xdr:ext cx="714375" cy="714375"/>
    <xdr:pic>
      <xdr:nvPicPr>
        <xdr:cNvPr id="0" name="image135.png"/>
        <xdr:cNvPicPr preferRelativeResize="0"/>
      </xdr:nvPicPr>
      <xdr:blipFill>
        <a:blip cstate="print" r:embed="rId143"/>
        <a:stretch>
          <a:fillRect/>
        </a:stretch>
      </xdr:blipFill>
      <xdr:spPr>
        <a:prstGeom prst="rect">
          <a:avLst/>
        </a:prstGeom>
        <a:noFill/>
      </xdr:spPr>
    </xdr:pic>
    <xdr:clientData fLocksWithSheet="0"/>
  </xdr:oneCellAnchor>
  <xdr:oneCellAnchor>
    <xdr:from>
      <xdr:col>2</xdr:col>
      <xdr:colOff>0</xdr:colOff>
      <xdr:row>149</xdr:row>
      <xdr:rowOff>0</xdr:rowOff>
    </xdr:from>
    <xdr:ext cx="714375" cy="714375"/>
    <xdr:pic>
      <xdr:nvPicPr>
        <xdr:cNvPr id="0" name="image136.png"/>
        <xdr:cNvPicPr preferRelativeResize="0"/>
      </xdr:nvPicPr>
      <xdr:blipFill>
        <a:blip cstate="print" r:embed="rId144"/>
        <a:stretch>
          <a:fillRect/>
        </a:stretch>
      </xdr:blipFill>
      <xdr:spPr>
        <a:prstGeom prst="rect">
          <a:avLst/>
        </a:prstGeom>
        <a:noFill/>
      </xdr:spPr>
    </xdr:pic>
    <xdr:clientData fLocksWithSheet="0"/>
  </xdr:oneCellAnchor>
  <xdr:oneCellAnchor>
    <xdr:from>
      <xdr:col>2</xdr:col>
      <xdr:colOff>0</xdr:colOff>
      <xdr:row>150</xdr:row>
      <xdr:rowOff>0</xdr:rowOff>
    </xdr:from>
    <xdr:ext cx="714375" cy="714375"/>
    <xdr:pic>
      <xdr:nvPicPr>
        <xdr:cNvPr id="0" name="image143.png"/>
        <xdr:cNvPicPr preferRelativeResize="0"/>
      </xdr:nvPicPr>
      <xdr:blipFill>
        <a:blip cstate="print" r:embed="rId145"/>
        <a:stretch>
          <a:fillRect/>
        </a:stretch>
      </xdr:blipFill>
      <xdr:spPr>
        <a:prstGeom prst="rect">
          <a:avLst/>
        </a:prstGeom>
        <a:noFill/>
      </xdr:spPr>
    </xdr:pic>
    <xdr:clientData fLocksWithSheet="0"/>
  </xdr:oneCellAnchor>
  <xdr:oneCellAnchor>
    <xdr:from>
      <xdr:col>2</xdr:col>
      <xdr:colOff>0</xdr:colOff>
      <xdr:row>151</xdr:row>
      <xdr:rowOff>0</xdr:rowOff>
    </xdr:from>
    <xdr:ext cx="714375" cy="714375"/>
    <xdr:pic>
      <xdr:nvPicPr>
        <xdr:cNvPr id="0" name="image141.png"/>
        <xdr:cNvPicPr preferRelativeResize="0"/>
      </xdr:nvPicPr>
      <xdr:blipFill>
        <a:blip cstate="print" r:embed="rId146"/>
        <a:stretch>
          <a:fillRect/>
        </a:stretch>
      </xdr:blipFill>
      <xdr:spPr>
        <a:prstGeom prst="rect">
          <a:avLst/>
        </a:prstGeom>
        <a:noFill/>
      </xdr:spPr>
    </xdr:pic>
    <xdr:clientData fLocksWithSheet="0"/>
  </xdr:oneCellAnchor>
  <xdr:oneCellAnchor>
    <xdr:from>
      <xdr:col>2</xdr:col>
      <xdr:colOff>0</xdr:colOff>
      <xdr:row>152</xdr:row>
      <xdr:rowOff>0</xdr:rowOff>
    </xdr:from>
    <xdr:ext cx="714375" cy="714375"/>
    <xdr:pic>
      <xdr:nvPicPr>
        <xdr:cNvPr id="0" name="image140.png"/>
        <xdr:cNvPicPr preferRelativeResize="0"/>
      </xdr:nvPicPr>
      <xdr:blipFill>
        <a:blip cstate="print" r:embed="rId147"/>
        <a:stretch>
          <a:fillRect/>
        </a:stretch>
      </xdr:blipFill>
      <xdr:spPr>
        <a:prstGeom prst="rect">
          <a:avLst/>
        </a:prstGeom>
        <a:noFill/>
      </xdr:spPr>
    </xdr:pic>
    <xdr:clientData fLocksWithSheet="0"/>
  </xdr:oneCellAnchor>
  <xdr:oneCellAnchor>
    <xdr:from>
      <xdr:col>2</xdr:col>
      <xdr:colOff>0</xdr:colOff>
      <xdr:row>153</xdr:row>
      <xdr:rowOff>0</xdr:rowOff>
    </xdr:from>
    <xdr:ext cx="714375" cy="714375"/>
    <xdr:pic>
      <xdr:nvPicPr>
        <xdr:cNvPr id="0" name="image138.png"/>
        <xdr:cNvPicPr preferRelativeResize="0"/>
      </xdr:nvPicPr>
      <xdr:blipFill>
        <a:blip cstate="print" r:embed="rId148"/>
        <a:stretch>
          <a:fillRect/>
        </a:stretch>
      </xdr:blipFill>
      <xdr:spPr>
        <a:prstGeom prst="rect">
          <a:avLst/>
        </a:prstGeom>
        <a:noFill/>
      </xdr:spPr>
    </xdr:pic>
    <xdr:clientData fLocksWithSheet="0"/>
  </xdr:oneCellAnchor>
  <xdr:oneCellAnchor>
    <xdr:from>
      <xdr:col>2</xdr:col>
      <xdr:colOff>0</xdr:colOff>
      <xdr:row>154</xdr:row>
      <xdr:rowOff>0</xdr:rowOff>
    </xdr:from>
    <xdr:ext cx="714375" cy="714375"/>
    <xdr:pic>
      <xdr:nvPicPr>
        <xdr:cNvPr id="0" name="image146.png"/>
        <xdr:cNvPicPr preferRelativeResize="0"/>
      </xdr:nvPicPr>
      <xdr:blipFill>
        <a:blip cstate="print" r:embed="rId149"/>
        <a:stretch>
          <a:fillRect/>
        </a:stretch>
      </xdr:blipFill>
      <xdr:spPr>
        <a:prstGeom prst="rect">
          <a:avLst/>
        </a:prstGeom>
        <a:noFill/>
      </xdr:spPr>
    </xdr:pic>
    <xdr:clientData fLocksWithSheet="0"/>
  </xdr:oneCellAnchor>
  <xdr:oneCellAnchor>
    <xdr:from>
      <xdr:col>2</xdr:col>
      <xdr:colOff>0</xdr:colOff>
      <xdr:row>155</xdr:row>
      <xdr:rowOff>0</xdr:rowOff>
    </xdr:from>
    <xdr:ext cx="714375" cy="714375"/>
    <xdr:pic>
      <xdr:nvPicPr>
        <xdr:cNvPr id="0" name="image145.png"/>
        <xdr:cNvPicPr preferRelativeResize="0"/>
      </xdr:nvPicPr>
      <xdr:blipFill>
        <a:blip cstate="print" r:embed="rId150"/>
        <a:stretch>
          <a:fillRect/>
        </a:stretch>
      </xdr:blipFill>
      <xdr:spPr>
        <a:prstGeom prst="rect">
          <a:avLst/>
        </a:prstGeom>
        <a:noFill/>
      </xdr:spPr>
    </xdr:pic>
    <xdr:clientData fLocksWithSheet="0"/>
  </xdr:oneCellAnchor>
  <xdr:oneCellAnchor>
    <xdr:from>
      <xdr:col>2</xdr:col>
      <xdr:colOff>0</xdr:colOff>
      <xdr:row>156</xdr:row>
      <xdr:rowOff>0</xdr:rowOff>
    </xdr:from>
    <xdr:ext cx="714375" cy="714375"/>
    <xdr:pic>
      <xdr:nvPicPr>
        <xdr:cNvPr id="0" name="image155.png"/>
        <xdr:cNvPicPr preferRelativeResize="0"/>
      </xdr:nvPicPr>
      <xdr:blipFill>
        <a:blip cstate="print" r:embed="rId151"/>
        <a:stretch>
          <a:fillRect/>
        </a:stretch>
      </xdr:blipFill>
      <xdr:spPr>
        <a:prstGeom prst="rect">
          <a:avLst/>
        </a:prstGeom>
        <a:noFill/>
      </xdr:spPr>
    </xdr:pic>
    <xdr:clientData fLocksWithSheet="0"/>
  </xdr:oneCellAnchor>
  <xdr:oneCellAnchor>
    <xdr:from>
      <xdr:col>2</xdr:col>
      <xdr:colOff>0</xdr:colOff>
      <xdr:row>157</xdr:row>
      <xdr:rowOff>0</xdr:rowOff>
    </xdr:from>
    <xdr:ext cx="714375" cy="714375"/>
    <xdr:pic>
      <xdr:nvPicPr>
        <xdr:cNvPr id="0" name="image148.png"/>
        <xdr:cNvPicPr preferRelativeResize="0"/>
      </xdr:nvPicPr>
      <xdr:blipFill>
        <a:blip cstate="print" r:embed="rId152"/>
        <a:stretch>
          <a:fillRect/>
        </a:stretch>
      </xdr:blipFill>
      <xdr:spPr>
        <a:prstGeom prst="rect">
          <a:avLst/>
        </a:prstGeom>
        <a:noFill/>
      </xdr:spPr>
    </xdr:pic>
    <xdr:clientData fLocksWithSheet="0"/>
  </xdr:oneCellAnchor>
  <xdr:oneCellAnchor>
    <xdr:from>
      <xdr:col>2</xdr:col>
      <xdr:colOff>0</xdr:colOff>
      <xdr:row>158</xdr:row>
      <xdr:rowOff>0</xdr:rowOff>
    </xdr:from>
    <xdr:ext cx="714375" cy="714375"/>
    <xdr:pic>
      <xdr:nvPicPr>
        <xdr:cNvPr id="0" name="image149.png"/>
        <xdr:cNvPicPr preferRelativeResize="0"/>
      </xdr:nvPicPr>
      <xdr:blipFill>
        <a:blip cstate="print" r:embed="rId153"/>
        <a:stretch>
          <a:fillRect/>
        </a:stretch>
      </xdr:blipFill>
      <xdr:spPr>
        <a:prstGeom prst="rect">
          <a:avLst/>
        </a:prstGeom>
        <a:noFill/>
      </xdr:spPr>
    </xdr:pic>
    <xdr:clientData fLocksWithSheet="0"/>
  </xdr:oneCellAnchor>
  <xdr:oneCellAnchor>
    <xdr:from>
      <xdr:col>2</xdr:col>
      <xdr:colOff>0</xdr:colOff>
      <xdr:row>159</xdr:row>
      <xdr:rowOff>0</xdr:rowOff>
    </xdr:from>
    <xdr:ext cx="714375" cy="714375"/>
    <xdr:pic>
      <xdr:nvPicPr>
        <xdr:cNvPr id="0" name="image153.png"/>
        <xdr:cNvPicPr preferRelativeResize="0"/>
      </xdr:nvPicPr>
      <xdr:blipFill>
        <a:blip cstate="print" r:embed="rId154"/>
        <a:stretch>
          <a:fillRect/>
        </a:stretch>
      </xdr:blipFill>
      <xdr:spPr>
        <a:prstGeom prst="rect">
          <a:avLst/>
        </a:prstGeom>
        <a:noFill/>
      </xdr:spPr>
    </xdr:pic>
    <xdr:clientData fLocksWithSheet="0"/>
  </xdr:oneCellAnchor>
  <xdr:oneCellAnchor>
    <xdr:from>
      <xdr:col>2</xdr:col>
      <xdr:colOff>0</xdr:colOff>
      <xdr:row>160</xdr:row>
      <xdr:rowOff>0</xdr:rowOff>
    </xdr:from>
    <xdr:ext cx="714375" cy="714375"/>
    <xdr:pic>
      <xdr:nvPicPr>
        <xdr:cNvPr id="0" name="image150.png"/>
        <xdr:cNvPicPr preferRelativeResize="0"/>
      </xdr:nvPicPr>
      <xdr:blipFill>
        <a:blip cstate="print" r:embed="rId155"/>
        <a:stretch>
          <a:fillRect/>
        </a:stretch>
      </xdr:blipFill>
      <xdr:spPr>
        <a:prstGeom prst="rect">
          <a:avLst/>
        </a:prstGeom>
        <a:noFill/>
      </xdr:spPr>
    </xdr:pic>
    <xdr:clientData fLocksWithSheet="0"/>
  </xdr:oneCellAnchor>
  <xdr:oneCellAnchor>
    <xdr:from>
      <xdr:col>2</xdr:col>
      <xdr:colOff>0</xdr:colOff>
      <xdr:row>161</xdr:row>
      <xdr:rowOff>0</xdr:rowOff>
    </xdr:from>
    <xdr:ext cx="714375" cy="714375"/>
    <xdr:pic>
      <xdr:nvPicPr>
        <xdr:cNvPr id="0" name="image147.png"/>
        <xdr:cNvPicPr preferRelativeResize="0"/>
      </xdr:nvPicPr>
      <xdr:blipFill>
        <a:blip cstate="print" r:embed="rId156"/>
        <a:stretch>
          <a:fillRect/>
        </a:stretch>
      </xdr:blipFill>
      <xdr:spPr>
        <a:prstGeom prst="rect">
          <a:avLst/>
        </a:prstGeom>
        <a:noFill/>
      </xdr:spPr>
    </xdr:pic>
    <xdr:clientData fLocksWithSheet="0"/>
  </xdr:oneCellAnchor>
  <xdr:oneCellAnchor>
    <xdr:from>
      <xdr:col>2</xdr:col>
      <xdr:colOff>0</xdr:colOff>
      <xdr:row>162</xdr:row>
      <xdr:rowOff>0</xdr:rowOff>
    </xdr:from>
    <xdr:ext cx="714375" cy="714375"/>
    <xdr:pic>
      <xdr:nvPicPr>
        <xdr:cNvPr id="0" name="image159.png"/>
        <xdr:cNvPicPr preferRelativeResize="0"/>
      </xdr:nvPicPr>
      <xdr:blipFill>
        <a:blip cstate="print" r:embed="rId157"/>
        <a:stretch>
          <a:fillRect/>
        </a:stretch>
      </xdr:blipFill>
      <xdr:spPr>
        <a:prstGeom prst="rect">
          <a:avLst/>
        </a:prstGeom>
        <a:noFill/>
      </xdr:spPr>
    </xdr:pic>
    <xdr:clientData fLocksWithSheet="0"/>
  </xdr:oneCellAnchor>
  <xdr:oneCellAnchor>
    <xdr:from>
      <xdr:col>2</xdr:col>
      <xdr:colOff>0</xdr:colOff>
      <xdr:row>163</xdr:row>
      <xdr:rowOff>0</xdr:rowOff>
    </xdr:from>
    <xdr:ext cx="714375" cy="714375"/>
    <xdr:pic>
      <xdr:nvPicPr>
        <xdr:cNvPr id="0" name="image158.png"/>
        <xdr:cNvPicPr preferRelativeResize="0"/>
      </xdr:nvPicPr>
      <xdr:blipFill>
        <a:blip cstate="print" r:embed="rId158"/>
        <a:stretch>
          <a:fillRect/>
        </a:stretch>
      </xdr:blipFill>
      <xdr:spPr>
        <a:prstGeom prst="rect">
          <a:avLst/>
        </a:prstGeom>
        <a:noFill/>
      </xdr:spPr>
    </xdr:pic>
    <xdr:clientData fLocksWithSheet="0"/>
  </xdr:oneCellAnchor>
  <xdr:oneCellAnchor>
    <xdr:from>
      <xdr:col>2</xdr:col>
      <xdr:colOff>0</xdr:colOff>
      <xdr:row>164</xdr:row>
      <xdr:rowOff>0</xdr:rowOff>
    </xdr:from>
    <xdr:ext cx="714375" cy="714375"/>
    <xdr:pic>
      <xdr:nvPicPr>
        <xdr:cNvPr id="0" name="image151.png"/>
        <xdr:cNvPicPr preferRelativeResize="0"/>
      </xdr:nvPicPr>
      <xdr:blipFill>
        <a:blip cstate="print" r:embed="rId159"/>
        <a:stretch>
          <a:fillRect/>
        </a:stretch>
      </xdr:blipFill>
      <xdr:spPr>
        <a:prstGeom prst="rect">
          <a:avLst/>
        </a:prstGeom>
        <a:noFill/>
      </xdr:spPr>
    </xdr:pic>
    <xdr:clientData fLocksWithSheet="0"/>
  </xdr:oneCellAnchor>
  <xdr:oneCellAnchor>
    <xdr:from>
      <xdr:col>2</xdr:col>
      <xdr:colOff>0</xdr:colOff>
      <xdr:row>165</xdr:row>
      <xdr:rowOff>0</xdr:rowOff>
    </xdr:from>
    <xdr:ext cx="714375" cy="714375"/>
    <xdr:pic>
      <xdr:nvPicPr>
        <xdr:cNvPr id="0" name="image163.png"/>
        <xdr:cNvPicPr preferRelativeResize="0"/>
      </xdr:nvPicPr>
      <xdr:blipFill>
        <a:blip cstate="print" r:embed="rId160"/>
        <a:stretch>
          <a:fillRect/>
        </a:stretch>
      </xdr:blipFill>
      <xdr:spPr>
        <a:prstGeom prst="rect">
          <a:avLst/>
        </a:prstGeom>
        <a:noFill/>
      </xdr:spPr>
    </xdr:pic>
    <xdr:clientData fLocksWithSheet="0"/>
  </xdr:oneCellAnchor>
  <xdr:oneCellAnchor>
    <xdr:from>
      <xdr:col>2</xdr:col>
      <xdr:colOff>0</xdr:colOff>
      <xdr:row>166</xdr:row>
      <xdr:rowOff>0</xdr:rowOff>
    </xdr:from>
    <xdr:ext cx="714375" cy="714375"/>
    <xdr:pic>
      <xdr:nvPicPr>
        <xdr:cNvPr id="0" name="image157.png"/>
        <xdr:cNvPicPr preferRelativeResize="0"/>
      </xdr:nvPicPr>
      <xdr:blipFill>
        <a:blip cstate="print" r:embed="rId161"/>
        <a:stretch>
          <a:fillRect/>
        </a:stretch>
      </xdr:blipFill>
      <xdr:spPr>
        <a:prstGeom prst="rect">
          <a:avLst/>
        </a:prstGeom>
        <a:noFill/>
      </xdr:spPr>
    </xdr:pic>
    <xdr:clientData fLocksWithSheet="0"/>
  </xdr:oneCellAnchor>
  <xdr:oneCellAnchor>
    <xdr:from>
      <xdr:col>2</xdr:col>
      <xdr:colOff>0</xdr:colOff>
      <xdr:row>168</xdr:row>
      <xdr:rowOff>0</xdr:rowOff>
    </xdr:from>
    <xdr:ext cx="714375" cy="714375"/>
    <xdr:pic>
      <xdr:nvPicPr>
        <xdr:cNvPr id="0" name="image156.png"/>
        <xdr:cNvPicPr preferRelativeResize="0"/>
      </xdr:nvPicPr>
      <xdr:blipFill>
        <a:blip cstate="print" r:embed="rId162"/>
        <a:stretch>
          <a:fillRect/>
        </a:stretch>
      </xdr:blipFill>
      <xdr:spPr>
        <a:prstGeom prst="rect">
          <a:avLst/>
        </a:prstGeom>
        <a:noFill/>
      </xdr:spPr>
    </xdr:pic>
    <xdr:clientData fLocksWithSheet="0"/>
  </xdr:oneCellAnchor>
  <xdr:oneCellAnchor>
    <xdr:from>
      <xdr:col>2</xdr:col>
      <xdr:colOff>0</xdr:colOff>
      <xdr:row>169</xdr:row>
      <xdr:rowOff>0</xdr:rowOff>
    </xdr:from>
    <xdr:ext cx="714375" cy="714375"/>
    <xdr:pic>
      <xdr:nvPicPr>
        <xdr:cNvPr id="0" name="image160.png"/>
        <xdr:cNvPicPr preferRelativeResize="0"/>
      </xdr:nvPicPr>
      <xdr:blipFill>
        <a:blip cstate="print" r:embed="rId163"/>
        <a:stretch>
          <a:fillRect/>
        </a:stretch>
      </xdr:blipFill>
      <xdr:spPr>
        <a:prstGeom prst="rect">
          <a:avLst/>
        </a:prstGeom>
        <a:noFill/>
      </xdr:spPr>
    </xdr:pic>
    <xdr:clientData fLocksWithSheet="0"/>
  </xdr:oneCellAnchor>
  <xdr:oneCellAnchor>
    <xdr:from>
      <xdr:col>2</xdr:col>
      <xdr:colOff>0</xdr:colOff>
      <xdr:row>170</xdr:row>
      <xdr:rowOff>0</xdr:rowOff>
    </xdr:from>
    <xdr:ext cx="714375" cy="714375"/>
    <xdr:pic>
      <xdr:nvPicPr>
        <xdr:cNvPr id="0" name="image154.png"/>
        <xdr:cNvPicPr preferRelativeResize="0"/>
      </xdr:nvPicPr>
      <xdr:blipFill>
        <a:blip cstate="print" r:embed="rId164"/>
        <a:stretch>
          <a:fillRect/>
        </a:stretch>
      </xdr:blipFill>
      <xdr:spPr>
        <a:prstGeom prst="rect">
          <a:avLst/>
        </a:prstGeom>
        <a:noFill/>
      </xdr:spPr>
    </xdr:pic>
    <xdr:clientData fLocksWithSheet="0"/>
  </xdr:oneCellAnchor>
  <xdr:oneCellAnchor>
    <xdr:from>
      <xdr:col>2</xdr:col>
      <xdr:colOff>0</xdr:colOff>
      <xdr:row>171</xdr:row>
      <xdr:rowOff>0</xdr:rowOff>
    </xdr:from>
    <xdr:ext cx="714375" cy="714375"/>
    <xdr:pic>
      <xdr:nvPicPr>
        <xdr:cNvPr id="0" name="image164.png"/>
        <xdr:cNvPicPr preferRelativeResize="0"/>
      </xdr:nvPicPr>
      <xdr:blipFill>
        <a:blip cstate="print" r:embed="rId165"/>
        <a:stretch>
          <a:fillRect/>
        </a:stretch>
      </xdr:blipFill>
      <xdr:spPr>
        <a:prstGeom prst="rect">
          <a:avLst/>
        </a:prstGeom>
        <a:noFill/>
      </xdr:spPr>
    </xdr:pic>
    <xdr:clientData fLocksWithSheet="0"/>
  </xdr:oneCellAnchor>
  <xdr:oneCellAnchor>
    <xdr:from>
      <xdr:col>2</xdr:col>
      <xdr:colOff>0</xdr:colOff>
      <xdr:row>172</xdr:row>
      <xdr:rowOff>0</xdr:rowOff>
    </xdr:from>
    <xdr:ext cx="714375" cy="714375"/>
    <xdr:pic>
      <xdr:nvPicPr>
        <xdr:cNvPr id="0" name="image161.png"/>
        <xdr:cNvPicPr preferRelativeResize="0"/>
      </xdr:nvPicPr>
      <xdr:blipFill>
        <a:blip cstate="print" r:embed="rId166"/>
        <a:stretch>
          <a:fillRect/>
        </a:stretch>
      </xdr:blipFill>
      <xdr:spPr>
        <a:prstGeom prst="rect">
          <a:avLst/>
        </a:prstGeom>
        <a:noFill/>
      </xdr:spPr>
    </xdr:pic>
    <xdr:clientData fLocksWithSheet="0"/>
  </xdr:oneCellAnchor>
  <xdr:oneCellAnchor>
    <xdr:from>
      <xdr:col>2</xdr:col>
      <xdr:colOff>0</xdr:colOff>
      <xdr:row>173</xdr:row>
      <xdr:rowOff>0</xdr:rowOff>
    </xdr:from>
    <xdr:ext cx="714375" cy="714375"/>
    <xdr:pic>
      <xdr:nvPicPr>
        <xdr:cNvPr id="0" name="image168.png"/>
        <xdr:cNvPicPr preferRelativeResize="0"/>
      </xdr:nvPicPr>
      <xdr:blipFill>
        <a:blip cstate="print" r:embed="rId167"/>
        <a:stretch>
          <a:fillRect/>
        </a:stretch>
      </xdr:blipFill>
      <xdr:spPr>
        <a:prstGeom prst="rect">
          <a:avLst/>
        </a:prstGeom>
        <a:noFill/>
      </xdr:spPr>
    </xdr:pic>
    <xdr:clientData fLocksWithSheet="0"/>
  </xdr:oneCellAnchor>
  <xdr:oneCellAnchor>
    <xdr:from>
      <xdr:col>2</xdr:col>
      <xdr:colOff>0</xdr:colOff>
      <xdr:row>174</xdr:row>
      <xdr:rowOff>0</xdr:rowOff>
    </xdr:from>
    <xdr:ext cx="714375" cy="714375"/>
    <xdr:pic>
      <xdr:nvPicPr>
        <xdr:cNvPr id="0" name="image166.png"/>
        <xdr:cNvPicPr preferRelativeResize="0"/>
      </xdr:nvPicPr>
      <xdr:blipFill>
        <a:blip cstate="print" r:embed="rId168"/>
        <a:stretch>
          <a:fillRect/>
        </a:stretch>
      </xdr:blipFill>
      <xdr:spPr>
        <a:prstGeom prst="rect">
          <a:avLst/>
        </a:prstGeom>
        <a:noFill/>
      </xdr:spPr>
    </xdr:pic>
    <xdr:clientData fLocksWithSheet="0"/>
  </xdr:oneCellAnchor>
  <xdr:oneCellAnchor>
    <xdr:from>
      <xdr:col>2</xdr:col>
      <xdr:colOff>0</xdr:colOff>
      <xdr:row>175</xdr:row>
      <xdr:rowOff>0</xdr:rowOff>
    </xdr:from>
    <xdr:ext cx="714375" cy="714375"/>
    <xdr:pic>
      <xdr:nvPicPr>
        <xdr:cNvPr id="0" name="image169.png"/>
        <xdr:cNvPicPr preferRelativeResize="0"/>
      </xdr:nvPicPr>
      <xdr:blipFill>
        <a:blip cstate="print" r:embed="rId169"/>
        <a:stretch>
          <a:fillRect/>
        </a:stretch>
      </xdr:blipFill>
      <xdr:spPr>
        <a:prstGeom prst="rect">
          <a:avLst/>
        </a:prstGeom>
        <a:noFill/>
      </xdr:spPr>
    </xdr:pic>
    <xdr:clientData fLocksWithSheet="0"/>
  </xdr:oneCellAnchor>
  <xdr:oneCellAnchor>
    <xdr:from>
      <xdr:col>2</xdr:col>
      <xdr:colOff>0</xdr:colOff>
      <xdr:row>176</xdr:row>
      <xdr:rowOff>0</xdr:rowOff>
    </xdr:from>
    <xdr:ext cx="714375" cy="714375"/>
    <xdr:pic>
      <xdr:nvPicPr>
        <xdr:cNvPr id="0" name="image167.png"/>
        <xdr:cNvPicPr preferRelativeResize="0"/>
      </xdr:nvPicPr>
      <xdr:blipFill>
        <a:blip cstate="print" r:embed="rId170"/>
        <a:stretch>
          <a:fillRect/>
        </a:stretch>
      </xdr:blipFill>
      <xdr:spPr>
        <a:prstGeom prst="rect">
          <a:avLst/>
        </a:prstGeom>
        <a:noFill/>
      </xdr:spPr>
    </xdr:pic>
    <xdr:clientData fLocksWithSheet="0"/>
  </xdr:oneCellAnchor>
  <xdr:oneCellAnchor>
    <xdr:from>
      <xdr:col>2</xdr:col>
      <xdr:colOff>0</xdr:colOff>
      <xdr:row>177</xdr:row>
      <xdr:rowOff>0</xdr:rowOff>
    </xdr:from>
    <xdr:ext cx="714375" cy="714375"/>
    <xdr:pic>
      <xdr:nvPicPr>
        <xdr:cNvPr id="0" name="image165.png"/>
        <xdr:cNvPicPr preferRelativeResize="0"/>
      </xdr:nvPicPr>
      <xdr:blipFill>
        <a:blip cstate="print" r:embed="rId171"/>
        <a:stretch>
          <a:fillRect/>
        </a:stretch>
      </xdr:blipFill>
      <xdr:spPr>
        <a:prstGeom prst="rect">
          <a:avLst/>
        </a:prstGeom>
        <a:noFill/>
      </xdr:spPr>
    </xdr:pic>
    <xdr:clientData fLocksWithSheet="0"/>
  </xdr:oneCellAnchor>
  <xdr:oneCellAnchor>
    <xdr:from>
      <xdr:col>2</xdr:col>
      <xdr:colOff>0</xdr:colOff>
      <xdr:row>178</xdr:row>
      <xdr:rowOff>0</xdr:rowOff>
    </xdr:from>
    <xdr:ext cx="714375" cy="714375"/>
    <xdr:pic>
      <xdr:nvPicPr>
        <xdr:cNvPr id="0" name="image178.png"/>
        <xdr:cNvPicPr preferRelativeResize="0"/>
      </xdr:nvPicPr>
      <xdr:blipFill>
        <a:blip cstate="print" r:embed="rId172"/>
        <a:stretch>
          <a:fillRect/>
        </a:stretch>
      </xdr:blipFill>
      <xdr:spPr>
        <a:prstGeom prst="rect">
          <a:avLst/>
        </a:prstGeom>
        <a:noFill/>
      </xdr:spPr>
    </xdr:pic>
    <xdr:clientData fLocksWithSheet="0"/>
  </xdr:oneCellAnchor>
  <xdr:oneCellAnchor>
    <xdr:from>
      <xdr:col>2</xdr:col>
      <xdr:colOff>0</xdr:colOff>
      <xdr:row>179</xdr:row>
      <xdr:rowOff>0</xdr:rowOff>
    </xdr:from>
    <xdr:ext cx="714375" cy="714375"/>
    <xdr:pic>
      <xdr:nvPicPr>
        <xdr:cNvPr id="0" name="image173.png"/>
        <xdr:cNvPicPr preferRelativeResize="0"/>
      </xdr:nvPicPr>
      <xdr:blipFill>
        <a:blip cstate="print" r:embed="rId173"/>
        <a:stretch>
          <a:fillRect/>
        </a:stretch>
      </xdr:blipFill>
      <xdr:spPr>
        <a:prstGeom prst="rect">
          <a:avLst/>
        </a:prstGeom>
        <a:noFill/>
      </xdr:spPr>
    </xdr:pic>
    <xdr:clientData fLocksWithSheet="0"/>
  </xdr:oneCellAnchor>
  <xdr:oneCellAnchor>
    <xdr:from>
      <xdr:col>2</xdr:col>
      <xdr:colOff>0</xdr:colOff>
      <xdr:row>180</xdr:row>
      <xdr:rowOff>0</xdr:rowOff>
    </xdr:from>
    <xdr:ext cx="714375" cy="714375"/>
    <xdr:pic>
      <xdr:nvPicPr>
        <xdr:cNvPr id="0" name="image174.png"/>
        <xdr:cNvPicPr preferRelativeResize="0"/>
      </xdr:nvPicPr>
      <xdr:blipFill>
        <a:blip cstate="print" r:embed="rId174"/>
        <a:stretch>
          <a:fillRect/>
        </a:stretch>
      </xdr:blipFill>
      <xdr:spPr>
        <a:prstGeom prst="rect">
          <a:avLst/>
        </a:prstGeom>
        <a:noFill/>
      </xdr:spPr>
    </xdr:pic>
    <xdr:clientData fLocksWithSheet="0"/>
  </xdr:oneCellAnchor>
  <xdr:oneCellAnchor>
    <xdr:from>
      <xdr:col>2</xdr:col>
      <xdr:colOff>0</xdr:colOff>
      <xdr:row>181</xdr:row>
      <xdr:rowOff>0</xdr:rowOff>
    </xdr:from>
    <xdr:ext cx="714375" cy="714375"/>
    <xdr:pic>
      <xdr:nvPicPr>
        <xdr:cNvPr id="0" name="image172.png"/>
        <xdr:cNvPicPr preferRelativeResize="0"/>
      </xdr:nvPicPr>
      <xdr:blipFill>
        <a:blip cstate="print" r:embed="rId175"/>
        <a:stretch>
          <a:fillRect/>
        </a:stretch>
      </xdr:blipFill>
      <xdr:spPr>
        <a:prstGeom prst="rect">
          <a:avLst/>
        </a:prstGeom>
        <a:noFill/>
      </xdr:spPr>
    </xdr:pic>
    <xdr:clientData fLocksWithSheet="0"/>
  </xdr:oneCellAnchor>
  <xdr:oneCellAnchor>
    <xdr:from>
      <xdr:col>2</xdr:col>
      <xdr:colOff>0</xdr:colOff>
      <xdr:row>182</xdr:row>
      <xdr:rowOff>0</xdr:rowOff>
    </xdr:from>
    <xdr:ext cx="714375" cy="714375"/>
    <xdr:pic>
      <xdr:nvPicPr>
        <xdr:cNvPr id="0" name="image177.png"/>
        <xdr:cNvPicPr preferRelativeResize="0"/>
      </xdr:nvPicPr>
      <xdr:blipFill>
        <a:blip cstate="print" r:embed="rId176"/>
        <a:stretch>
          <a:fillRect/>
        </a:stretch>
      </xdr:blipFill>
      <xdr:spPr>
        <a:prstGeom prst="rect">
          <a:avLst/>
        </a:prstGeom>
        <a:noFill/>
      </xdr:spPr>
    </xdr:pic>
    <xdr:clientData fLocksWithSheet="0"/>
  </xdr:oneCellAnchor>
  <xdr:oneCellAnchor>
    <xdr:from>
      <xdr:col>2</xdr:col>
      <xdr:colOff>0</xdr:colOff>
      <xdr:row>183</xdr:row>
      <xdr:rowOff>0</xdr:rowOff>
    </xdr:from>
    <xdr:ext cx="714375" cy="714375"/>
    <xdr:pic>
      <xdr:nvPicPr>
        <xdr:cNvPr id="0" name="image184.png"/>
        <xdr:cNvPicPr preferRelativeResize="0"/>
      </xdr:nvPicPr>
      <xdr:blipFill>
        <a:blip cstate="print" r:embed="rId177"/>
        <a:stretch>
          <a:fillRect/>
        </a:stretch>
      </xdr:blipFill>
      <xdr:spPr>
        <a:prstGeom prst="rect">
          <a:avLst/>
        </a:prstGeom>
        <a:noFill/>
      </xdr:spPr>
    </xdr:pic>
    <xdr:clientData fLocksWithSheet="0"/>
  </xdr:oneCellAnchor>
  <xdr:oneCellAnchor>
    <xdr:from>
      <xdr:col>2</xdr:col>
      <xdr:colOff>0</xdr:colOff>
      <xdr:row>184</xdr:row>
      <xdr:rowOff>0</xdr:rowOff>
    </xdr:from>
    <xdr:ext cx="714375" cy="714375"/>
    <xdr:pic>
      <xdr:nvPicPr>
        <xdr:cNvPr id="0" name="image176.png"/>
        <xdr:cNvPicPr preferRelativeResize="0"/>
      </xdr:nvPicPr>
      <xdr:blipFill>
        <a:blip cstate="print" r:embed="rId178"/>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714375" cy="714375"/>
    <xdr:pic>
      <xdr:nvPicPr>
        <xdr:cNvPr id="0" name="image181.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714375" cy="714375"/>
    <xdr:pic>
      <xdr:nvPicPr>
        <xdr:cNvPr id="0" name="image170.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714375" cy="714375"/>
    <xdr:pic>
      <xdr:nvPicPr>
        <xdr:cNvPr id="0" name="image180.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714375" cy="714375"/>
    <xdr:pic>
      <xdr:nvPicPr>
        <xdr:cNvPr id="0" name="image19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714375" cy="714375"/>
    <xdr:pic>
      <xdr:nvPicPr>
        <xdr:cNvPr id="0" name="image17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714375" cy="714375"/>
    <xdr:pic>
      <xdr:nvPicPr>
        <xdr:cNvPr id="0" name="image179.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714375" cy="714375"/>
    <xdr:pic>
      <xdr:nvPicPr>
        <xdr:cNvPr id="0" name="image193.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714375" cy="714375"/>
    <xdr:pic>
      <xdr:nvPicPr>
        <xdr:cNvPr id="0" name="image185.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714375" cy="714375"/>
    <xdr:pic>
      <xdr:nvPicPr>
        <xdr:cNvPr id="0" name="image203.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714375" cy="714375"/>
    <xdr:pic>
      <xdr:nvPicPr>
        <xdr:cNvPr id="0" name="image186.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714375" cy="714375"/>
    <xdr:pic>
      <xdr:nvPicPr>
        <xdr:cNvPr id="0" name="image183.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714375" cy="714375"/>
    <xdr:pic>
      <xdr:nvPicPr>
        <xdr:cNvPr id="0" name="image188.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714375" cy="714375"/>
    <xdr:pic>
      <xdr:nvPicPr>
        <xdr:cNvPr id="0" name="image189.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714375" cy="714375"/>
    <xdr:pic>
      <xdr:nvPicPr>
        <xdr:cNvPr id="0" name="image187.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714375" cy="714375"/>
    <xdr:pic>
      <xdr:nvPicPr>
        <xdr:cNvPr id="0" name="image190.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714375" cy="714375"/>
    <xdr:pic>
      <xdr:nvPicPr>
        <xdr:cNvPr id="0" name="image192.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714375" cy="714375"/>
    <xdr:pic>
      <xdr:nvPicPr>
        <xdr:cNvPr id="0" name="image196.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714375" cy="714375"/>
    <xdr:pic>
      <xdr:nvPicPr>
        <xdr:cNvPr id="0" name="image197.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714375" cy="714375"/>
    <xdr:pic>
      <xdr:nvPicPr>
        <xdr:cNvPr id="0" name="image182.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714375" cy="714375"/>
    <xdr:pic>
      <xdr:nvPicPr>
        <xdr:cNvPr id="0" name="image199.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714375" cy="714375"/>
    <xdr:pic>
      <xdr:nvPicPr>
        <xdr:cNvPr id="0" name="image191.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714375" cy="714375"/>
    <xdr:pic>
      <xdr:nvPicPr>
        <xdr:cNvPr id="0" name="image195.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714375" cy="714375"/>
    <xdr:pic>
      <xdr:nvPicPr>
        <xdr:cNvPr id="0" name="image200.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714375" cy="714375"/>
    <xdr:pic>
      <xdr:nvPicPr>
        <xdr:cNvPr id="0" name="image205.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714375" cy="714375"/>
    <xdr:pic>
      <xdr:nvPicPr>
        <xdr:cNvPr id="0" name="image198.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714375" cy="714375"/>
    <xdr:pic>
      <xdr:nvPicPr>
        <xdr:cNvPr id="0" name="image202.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714375" cy="714375"/>
    <xdr:pic>
      <xdr:nvPicPr>
        <xdr:cNvPr id="0" name="image206.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714375" cy="714375"/>
    <xdr:pic>
      <xdr:nvPicPr>
        <xdr:cNvPr id="0" name="image201.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714375" cy="714375"/>
    <xdr:pic>
      <xdr:nvPicPr>
        <xdr:cNvPr id="0" name="image396.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714375" cy="714375"/>
    <xdr:pic>
      <xdr:nvPicPr>
        <xdr:cNvPr id="0" name="image211.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714375" cy="714375"/>
    <xdr:pic>
      <xdr:nvPicPr>
        <xdr:cNvPr id="0" name="image21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714375" cy="714375"/>
    <xdr:pic>
      <xdr:nvPicPr>
        <xdr:cNvPr id="0" name="image210.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714375" cy="714375"/>
    <xdr:pic>
      <xdr:nvPicPr>
        <xdr:cNvPr id="0" name="image207.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34</xdr:row>
      <xdr:rowOff>0</xdr:rowOff>
    </xdr:from>
    <xdr:ext cx="714375" cy="714375"/>
    <xdr:pic>
      <xdr:nvPicPr>
        <xdr:cNvPr id="0" name="image204.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35</xdr:row>
      <xdr:rowOff>0</xdr:rowOff>
    </xdr:from>
    <xdr:ext cx="714375" cy="714375"/>
    <xdr:pic>
      <xdr:nvPicPr>
        <xdr:cNvPr id="0" name="image209.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36</xdr:row>
      <xdr:rowOff>0</xdr:rowOff>
    </xdr:from>
    <xdr:ext cx="714375" cy="714375"/>
    <xdr:pic>
      <xdr:nvPicPr>
        <xdr:cNvPr id="0" name="image21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38</xdr:row>
      <xdr:rowOff>0</xdr:rowOff>
    </xdr:from>
    <xdr:ext cx="714375" cy="714375"/>
    <xdr:pic>
      <xdr:nvPicPr>
        <xdr:cNvPr id="0" name="image213.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39</xdr:row>
      <xdr:rowOff>0</xdr:rowOff>
    </xdr:from>
    <xdr:ext cx="714375" cy="714375"/>
    <xdr:pic>
      <xdr:nvPicPr>
        <xdr:cNvPr id="0" name="image214.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40</xdr:row>
      <xdr:rowOff>0</xdr:rowOff>
    </xdr:from>
    <xdr:ext cx="714375" cy="714375"/>
    <xdr:pic>
      <xdr:nvPicPr>
        <xdr:cNvPr id="0" name="image208.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41</xdr:row>
      <xdr:rowOff>0</xdr:rowOff>
    </xdr:from>
    <xdr:ext cx="714375" cy="714375"/>
    <xdr:pic>
      <xdr:nvPicPr>
        <xdr:cNvPr id="0" name="image21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42</xdr:row>
      <xdr:rowOff>0</xdr:rowOff>
    </xdr:from>
    <xdr:ext cx="714375" cy="714375"/>
    <xdr:pic>
      <xdr:nvPicPr>
        <xdr:cNvPr id="0" name="image216.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43</xdr:row>
      <xdr:rowOff>0</xdr:rowOff>
    </xdr:from>
    <xdr:ext cx="714375" cy="714375"/>
    <xdr:pic>
      <xdr:nvPicPr>
        <xdr:cNvPr id="0" name="image220.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44</xdr:row>
      <xdr:rowOff>0</xdr:rowOff>
    </xdr:from>
    <xdr:ext cx="714375" cy="714375"/>
    <xdr:pic>
      <xdr:nvPicPr>
        <xdr:cNvPr id="0" name="image22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45</xdr:row>
      <xdr:rowOff>0</xdr:rowOff>
    </xdr:from>
    <xdr:ext cx="714375" cy="714375"/>
    <xdr:pic>
      <xdr:nvPicPr>
        <xdr:cNvPr id="0" name="image218.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46</xdr:row>
      <xdr:rowOff>0</xdr:rowOff>
    </xdr:from>
    <xdr:ext cx="714375" cy="714375"/>
    <xdr:pic>
      <xdr:nvPicPr>
        <xdr:cNvPr id="0" name="image224.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47</xdr:row>
      <xdr:rowOff>0</xdr:rowOff>
    </xdr:from>
    <xdr:ext cx="714375" cy="714375"/>
    <xdr:pic>
      <xdr:nvPicPr>
        <xdr:cNvPr id="0" name="image217.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48</xdr:row>
      <xdr:rowOff>0</xdr:rowOff>
    </xdr:from>
    <xdr:ext cx="714375" cy="714375"/>
    <xdr:pic>
      <xdr:nvPicPr>
        <xdr:cNvPr id="0" name="image225.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49</xdr:row>
      <xdr:rowOff>0</xdr:rowOff>
    </xdr:from>
    <xdr:ext cx="714375" cy="714375"/>
    <xdr:pic>
      <xdr:nvPicPr>
        <xdr:cNvPr id="0" name="image233.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50</xdr:row>
      <xdr:rowOff>0</xdr:rowOff>
    </xdr:from>
    <xdr:ext cx="714375" cy="714375"/>
    <xdr:pic>
      <xdr:nvPicPr>
        <xdr:cNvPr id="0" name="image229.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51</xdr:row>
      <xdr:rowOff>0</xdr:rowOff>
    </xdr:from>
    <xdr:ext cx="714375" cy="714375"/>
    <xdr:pic>
      <xdr:nvPicPr>
        <xdr:cNvPr id="0" name="image222.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52</xdr:row>
      <xdr:rowOff>0</xdr:rowOff>
    </xdr:from>
    <xdr:ext cx="714375" cy="714375"/>
    <xdr:pic>
      <xdr:nvPicPr>
        <xdr:cNvPr id="0" name="image221.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53</xdr:row>
      <xdr:rowOff>0</xdr:rowOff>
    </xdr:from>
    <xdr:ext cx="714375" cy="714375"/>
    <xdr:pic>
      <xdr:nvPicPr>
        <xdr:cNvPr id="0" name="image226.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54</xdr:row>
      <xdr:rowOff>0</xdr:rowOff>
    </xdr:from>
    <xdr:ext cx="714375" cy="714375"/>
    <xdr:pic>
      <xdr:nvPicPr>
        <xdr:cNvPr id="0" name="image227.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55</xdr:row>
      <xdr:rowOff>0</xdr:rowOff>
    </xdr:from>
    <xdr:ext cx="714375" cy="714375"/>
    <xdr:pic>
      <xdr:nvPicPr>
        <xdr:cNvPr id="0" name="image239.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57</xdr:row>
      <xdr:rowOff>0</xdr:rowOff>
    </xdr:from>
    <xdr:ext cx="714375" cy="714375"/>
    <xdr:pic>
      <xdr:nvPicPr>
        <xdr:cNvPr id="0" name="image232.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58</xdr:row>
      <xdr:rowOff>0</xdr:rowOff>
    </xdr:from>
    <xdr:ext cx="714375" cy="714375"/>
    <xdr:pic>
      <xdr:nvPicPr>
        <xdr:cNvPr id="0" name="image230.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59</xdr:row>
      <xdr:rowOff>0</xdr:rowOff>
    </xdr:from>
    <xdr:ext cx="714375" cy="714375"/>
    <xdr:pic>
      <xdr:nvPicPr>
        <xdr:cNvPr id="0" name="image231.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60</xdr:row>
      <xdr:rowOff>0</xdr:rowOff>
    </xdr:from>
    <xdr:ext cx="714375" cy="714375"/>
    <xdr:pic>
      <xdr:nvPicPr>
        <xdr:cNvPr id="0" name="image228.pn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61</xdr:row>
      <xdr:rowOff>0</xdr:rowOff>
    </xdr:from>
    <xdr:ext cx="714375" cy="714375"/>
    <xdr:pic>
      <xdr:nvPicPr>
        <xdr:cNvPr id="0" name="image235.pn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62</xdr:row>
      <xdr:rowOff>0</xdr:rowOff>
    </xdr:from>
    <xdr:ext cx="714375" cy="714375"/>
    <xdr:pic>
      <xdr:nvPicPr>
        <xdr:cNvPr id="0" name="image238.pn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63</xdr:row>
      <xdr:rowOff>0</xdr:rowOff>
    </xdr:from>
    <xdr:ext cx="714375" cy="714375"/>
    <xdr:pic>
      <xdr:nvPicPr>
        <xdr:cNvPr id="0" name="image234.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64</xdr:row>
      <xdr:rowOff>0</xdr:rowOff>
    </xdr:from>
    <xdr:ext cx="714375" cy="714375"/>
    <xdr:pic>
      <xdr:nvPicPr>
        <xdr:cNvPr id="0" name="image245.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65</xdr:row>
      <xdr:rowOff>0</xdr:rowOff>
    </xdr:from>
    <xdr:ext cx="714375" cy="714375"/>
    <xdr:pic>
      <xdr:nvPicPr>
        <xdr:cNvPr id="0" name="image242.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66</xdr:row>
      <xdr:rowOff>0</xdr:rowOff>
    </xdr:from>
    <xdr:ext cx="714375" cy="714375"/>
    <xdr:pic>
      <xdr:nvPicPr>
        <xdr:cNvPr id="0" name="image237.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67</xdr:row>
      <xdr:rowOff>0</xdr:rowOff>
    </xdr:from>
    <xdr:ext cx="714375" cy="714375"/>
    <xdr:pic>
      <xdr:nvPicPr>
        <xdr:cNvPr id="0" name="image243.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68</xdr:row>
      <xdr:rowOff>0</xdr:rowOff>
    </xdr:from>
    <xdr:ext cx="714375" cy="714375"/>
    <xdr:pic>
      <xdr:nvPicPr>
        <xdr:cNvPr id="0" name="image246.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69</xdr:row>
      <xdr:rowOff>0</xdr:rowOff>
    </xdr:from>
    <xdr:ext cx="714375" cy="714375"/>
    <xdr:pic>
      <xdr:nvPicPr>
        <xdr:cNvPr id="0" name="image249.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70</xdr:row>
      <xdr:rowOff>0</xdr:rowOff>
    </xdr:from>
    <xdr:ext cx="714375" cy="714375"/>
    <xdr:pic>
      <xdr:nvPicPr>
        <xdr:cNvPr id="0" name="image241.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72</xdr:row>
      <xdr:rowOff>0</xdr:rowOff>
    </xdr:from>
    <xdr:ext cx="714375" cy="714375"/>
    <xdr:pic>
      <xdr:nvPicPr>
        <xdr:cNvPr id="0" name="image244.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73</xdr:row>
      <xdr:rowOff>0</xdr:rowOff>
    </xdr:from>
    <xdr:ext cx="714375" cy="714375"/>
    <xdr:pic>
      <xdr:nvPicPr>
        <xdr:cNvPr id="0" name="image236.pn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74</xdr:row>
      <xdr:rowOff>0</xdr:rowOff>
    </xdr:from>
    <xdr:ext cx="714375" cy="714375"/>
    <xdr:pic>
      <xdr:nvPicPr>
        <xdr:cNvPr id="0" name="image240.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75</xdr:row>
      <xdr:rowOff>0</xdr:rowOff>
    </xdr:from>
    <xdr:ext cx="714375" cy="714375"/>
    <xdr:pic>
      <xdr:nvPicPr>
        <xdr:cNvPr id="0" name="image247.pn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0</xdr:colOff>
      <xdr:row>76</xdr:row>
      <xdr:rowOff>0</xdr:rowOff>
    </xdr:from>
    <xdr:ext cx="714375" cy="714375"/>
    <xdr:pic>
      <xdr:nvPicPr>
        <xdr:cNvPr id="0" name="image258.pn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77</xdr:row>
      <xdr:rowOff>0</xdr:rowOff>
    </xdr:from>
    <xdr:ext cx="714375" cy="714375"/>
    <xdr:pic>
      <xdr:nvPicPr>
        <xdr:cNvPr id="0" name="image250.pn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0</xdr:colOff>
      <xdr:row>78</xdr:row>
      <xdr:rowOff>0</xdr:rowOff>
    </xdr:from>
    <xdr:ext cx="714375" cy="714375"/>
    <xdr:pic>
      <xdr:nvPicPr>
        <xdr:cNvPr id="0" name="image255.pn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0</xdr:colOff>
      <xdr:row>79</xdr:row>
      <xdr:rowOff>0</xdr:rowOff>
    </xdr:from>
    <xdr:ext cx="714375" cy="714375"/>
    <xdr:pic>
      <xdr:nvPicPr>
        <xdr:cNvPr id="0" name="image254.pn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0</xdr:colOff>
      <xdr:row>80</xdr:row>
      <xdr:rowOff>0</xdr:rowOff>
    </xdr:from>
    <xdr:ext cx="714375" cy="714375"/>
    <xdr:pic>
      <xdr:nvPicPr>
        <xdr:cNvPr id="0" name="image256.pn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0</xdr:colOff>
      <xdr:row>81</xdr:row>
      <xdr:rowOff>0</xdr:rowOff>
    </xdr:from>
    <xdr:ext cx="714375" cy="714375"/>
    <xdr:pic>
      <xdr:nvPicPr>
        <xdr:cNvPr id="0" name="image251.png"/>
        <xdr:cNvPicPr preferRelativeResize="0"/>
      </xdr:nvPicPr>
      <xdr:blipFill>
        <a:blip cstate="print" r:embed="rId78"/>
        <a:stretch>
          <a:fillRect/>
        </a:stretch>
      </xdr:blipFill>
      <xdr:spPr>
        <a:prstGeom prst="rect">
          <a:avLst/>
        </a:prstGeom>
        <a:noFill/>
      </xdr:spPr>
    </xdr:pic>
    <xdr:clientData fLocksWithSheet="0"/>
  </xdr:oneCellAnchor>
  <xdr:oneCellAnchor>
    <xdr:from>
      <xdr:col>2</xdr:col>
      <xdr:colOff>0</xdr:colOff>
      <xdr:row>83</xdr:row>
      <xdr:rowOff>0</xdr:rowOff>
    </xdr:from>
    <xdr:ext cx="714375" cy="714375"/>
    <xdr:pic>
      <xdr:nvPicPr>
        <xdr:cNvPr id="0" name="image262.pn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84</xdr:row>
      <xdr:rowOff>0</xdr:rowOff>
    </xdr:from>
    <xdr:ext cx="714375" cy="714375"/>
    <xdr:pic>
      <xdr:nvPicPr>
        <xdr:cNvPr id="0" name="image252.pn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0</xdr:colOff>
      <xdr:row>85</xdr:row>
      <xdr:rowOff>0</xdr:rowOff>
    </xdr:from>
    <xdr:ext cx="714375" cy="714375"/>
    <xdr:pic>
      <xdr:nvPicPr>
        <xdr:cNvPr id="0" name="image259.pn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0</xdr:colOff>
      <xdr:row>86</xdr:row>
      <xdr:rowOff>0</xdr:rowOff>
    </xdr:from>
    <xdr:ext cx="714375" cy="714375"/>
    <xdr:pic>
      <xdr:nvPicPr>
        <xdr:cNvPr id="0" name="image270.pn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0</xdr:colOff>
      <xdr:row>87</xdr:row>
      <xdr:rowOff>0</xdr:rowOff>
    </xdr:from>
    <xdr:ext cx="714375" cy="714375"/>
    <xdr:pic>
      <xdr:nvPicPr>
        <xdr:cNvPr id="0" name="image253.png"/>
        <xdr:cNvPicPr preferRelativeResize="0"/>
      </xdr:nvPicPr>
      <xdr:blipFill>
        <a:blip cstate="print" r:embed="rId8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1</xdr:row>
      <xdr:rowOff>0</xdr:rowOff>
    </xdr:from>
    <xdr:ext cx="714375" cy="714375"/>
    <xdr:pic>
      <xdr:nvPicPr>
        <xdr:cNvPr id="0" name="image257.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0</xdr:colOff>
      <xdr:row>2</xdr:row>
      <xdr:rowOff>0</xdr:rowOff>
    </xdr:from>
    <xdr:ext cx="714375" cy="714375"/>
    <xdr:pic>
      <xdr:nvPicPr>
        <xdr:cNvPr id="0" name="image263.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3</xdr:row>
      <xdr:rowOff>0</xdr:rowOff>
    </xdr:from>
    <xdr:ext cx="714375" cy="714375"/>
    <xdr:pic>
      <xdr:nvPicPr>
        <xdr:cNvPr id="0" name="image26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4</xdr:row>
      <xdr:rowOff>0</xdr:rowOff>
    </xdr:from>
    <xdr:ext cx="714375" cy="714375"/>
    <xdr:pic>
      <xdr:nvPicPr>
        <xdr:cNvPr id="0" name="image264.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xdr:row>
      <xdr:rowOff>0</xdr:rowOff>
    </xdr:from>
    <xdr:ext cx="714375" cy="714375"/>
    <xdr:pic>
      <xdr:nvPicPr>
        <xdr:cNvPr id="0" name="image26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6</xdr:row>
      <xdr:rowOff>0</xdr:rowOff>
    </xdr:from>
    <xdr:ext cx="714375" cy="714375"/>
    <xdr:pic>
      <xdr:nvPicPr>
        <xdr:cNvPr id="0" name="image261.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7</xdr:row>
      <xdr:rowOff>0</xdr:rowOff>
    </xdr:from>
    <xdr:ext cx="714375" cy="714375"/>
    <xdr:pic>
      <xdr:nvPicPr>
        <xdr:cNvPr id="0" name="image260.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0</xdr:colOff>
      <xdr:row>8</xdr:row>
      <xdr:rowOff>0</xdr:rowOff>
    </xdr:from>
    <xdr:ext cx="714375" cy="714375"/>
    <xdr:pic>
      <xdr:nvPicPr>
        <xdr:cNvPr id="0" name="image268.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9</xdr:row>
      <xdr:rowOff>0</xdr:rowOff>
    </xdr:from>
    <xdr:ext cx="714375" cy="714375"/>
    <xdr:pic>
      <xdr:nvPicPr>
        <xdr:cNvPr id="0" name="image266.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10</xdr:row>
      <xdr:rowOff>0</xdr:rowOff>
    </xdr:from>
    <xdr:ext cx="714375" cy="714375"/>
    <xdr:pic>
      <xdr:nvPicPr>
        <xdr:cNvPr id="0" name="image27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11</xdr:row>
      <xdr:rowOff>0</xdr:rowOff>
    </xdr:from>
    <xdr:ext cx="714375" cy="714375"/>
    <xdr:pic>
      <xdr:nvPicPr>
        <xdr:cNvPr id="0" name="image289.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12</xdr:row>
      <xdr:rowOff>0</xdr:rowOff>
    </xdr:from>
    <xdr:ext cx="714375" cy="714375"/>
    <xdr:pic>
      <xdr:nvPicPr>
        <xdr:cNvPr id="0" name="image26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13</xdr:row>
      <xdr:rowOff>0</xdr:rowOff>
    </xdr:from>
    <xdr:ext cx="714375" cy="714375"/>
    <xdr:pic>
      <xdr:nvPicPr>
        <xdr:cNvPr id="0" name="image272.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14</xdr:row>
      <xdr:rowOff>0</xdr:rowOff>
    </xdr:from>
    <xdr:ext cx="714375" cy="714375"/>
    <xdr:pic>
      <xdr:nvPicPr>
        <xdr:cNvPr id="0" name="image274.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15</xdr:row>
      <xdr:rowOff>0</xdr:rowOff>
    </xdr:from>
    <xdr:ext cx="714375" cy="714375"/>
    <xdr:pic>
      <xdr:nvPicPr>
        <xdr:cNvPr id="0" name="image279.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16</xdr:row>
      <xdr:rowOff>0</xdr:rowOff>
    </xdr:from>
    <xdr:ext cx="714375" cy="714375"/>
    <xdr:pic>
      <xdr:nvPicPr>
        <xdr:cNvPr id="0" name="image301.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17</xdr:row>
      <xdr:rowOff>0</xdr:rowOff>
    </xdr:from>
    <xdr:ext cx="714375" cy="714375"/>
    <xdr:pic>
      <xdr:nvPicPr>
        <xdr:cNvPr id="0" name="image281.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18</xdr:row>
      <xdr:rowOff>0</xdr:rowOff>
    </xdr:from>
    <xdr:ext cx="714375" cy="714375"/>
    <xdr:pic>
      <xdr:nvPicPr>
        <xdr:cNvPr id="0" name="image276.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19</xdr:row>
      <xdr:rowOff>0</xdr:rowOff>
    </xdr:from>
    <xdr:ext cx="714375" cy="714375"/>
    <xdr:pic>
      <xdr:nvPicPr>
        <xdr:cNvPr id="0" name="image275.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20</xdr:row>
      <xdr:rowOff>0</xdr:rowOff>
    </xdr:from>
    <xdr:ext cx="714375" cy="714375"/>
    <xdr:pic>
      <xdr:nvPicPr>
        <xdr:cNvPr id="0" name="image271.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21</xdr:row>
      <xdr:rowOff>0</xdr:rowOff>
    </xdr:from>
    <xdr:ext cx="714375" cy="714375"/>
    <xdr:pic>
      <xdr:nvPicPr>
        <xdr:cNvPr id="0" name="image28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22</xdr:row>
      <xdr:rowOff>0</xdr:rowOff>
    </xdr:from>
    <xdr:ext cx="714375" cy="714375"/>
    <xdr:pic>
      <xdr:nvPicPr>
        <xdr:cNvPr id="0" name="image280.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23</xdr:row>
      <xdr:rowOff>0</xdr:rowOff>
    </xdr:from>
    <xdr:ext cx="714375" cy="714375"/>
    <xdr:pic>
      <xdr:nvPicPr>
        <xdr:cNvPr id="0" name="image278.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24</xdr:row>
      <xdr:rowOff>0</xdr:rowOff>
    </xdr:from>
    <xdr:ext cx="714375" cy="714375"/>
    <xdr:pic>
      <xdr:nvPicPr>
        <xdr:cNvPr id="0" name="image283.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25</xdr:row>
      <xdr:rowOff>0</xdr:rowOff>
    </xdr:from>
    <xdr:ext cx="714375" cy="714375"/>
    <xdr:pic>
      <xdr:nvPicPr>
        <xdr:cNvPr id="0" name="image286.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26</xdr:row>
      <xdr:rowOff>0</xdr:rowOff>
    </xdr:from>
    <xdr:ext cx="714375" cy="714375"/>
    <xdr:pic>
      <xdr:nvPicPr>
        <xdr:cNvPr id="0" name="image277.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0</xdr:colOff>
      <xdr:row>27</xdr:row>
      <xdr:rowOff>0</xdr:rowOff>
    </xdr:from>
    <xdr:ext cx="714375" cy="714375"/>
    <xdr:pic>
      <xdr:nvPicPr>
        <xdr:cNvPr id="0" name="image284.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28</xdr:row>
      <xdr:rowOff>0</xdr:rowOff>
    </xdr:from>
    <xdr:ext cx="714375" cy="714375"/>
    <xdr:pic>
      <xdr:nvPicPr>
        <xdr:cNvPr id="0" name="image285.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29</xdr:row>
      <xdr:rowOff>0</xdr:rowOff>
    </xdr:from>
    <xdr:ext cx="714375" cy="714375"/>
    <xdr:pic>
      <xdr:nvPicPr>
        <xdr:cNvPr id="0" name="image287.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30</xdr:row>
      <xdr:rowOff>0</xdr:rowOff>
    </xdr:from>
    <xdr:ext cx="714375" cy="714375"/>
    <xdr:pic>
      <xdr:nvPicPr>
        <xdr:cNvPr id="0" name="image288.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31</xdr:row>
      <xdr:rowOff>0</xdr:rowOff>
    </xdr:from>
    <xdr:ext cx="714375" cy="714375"/>
    <xdr:pic>
      <xdr:nvPicPr>
        <xdr:cNvPr id="0" name="image292.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32</xdr:row>
      <xdr:rowOff>0</xdr:rowOff>
    </xdr:from>
    <xdr:ext cx="714375" cy="714375"/>
    <xdr:pic>
      <xdr:nvPicPr>
        <xdr:cNvPr id="0" name="image291.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33</xdr:row>
      <xdr:rowOff>0</xdr:rowOff>
    </xdr:from>
    <xdr:ext cx="714375" cy="714375"/>
    <xdr:pic>
      <xdr:nvPicPr>
        <xdr:cNvPr id="0" name="image290.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34</xdr:row>
      <xdr:rowOff>0</xdr:rowOff>
    </xdr:from>
    <xdr:ext cx="714375" cy="714375"/>
    <xdr:pic>
      <xdr:nvPicPr>
        <xdr:cNvPr id="0" name="image294.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35</xdr:row>
      <xdr:rowOff>0</xdr:rowOff>
    </xdr:from>
    <xdr:ext cx="714375" cy="714375"/>
    <xdr:pic>
      <xdr:nvPicPr>
        <xdr:cNvPr id="0" name="image293.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36</xdr:row>
      <xdr:rowOff>0</xdr:rowOff>
    </xdr:from>
    <xdr:ext cx="714375" cy="714375"/>
    <xdr:pic>
      <xdr:nvPicPr>
        <xdr:cNvPr id="0" name="image297.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37</xdr:row>
      <xdr:rowOff>0</xdr:rowOff>
    </xdr:from>
    <xdr:ext cx="714375" cy="714375"/>
    <xdr:pic>
      <xdr:nvPicPr>
        <xdr:cNvPr id="0" name="image300.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38</xdr:row>
      <xdr:rowOff>0</xdr:rowOff>
    </xdr:from>
    <xdr:ext cx="714375" cy="714375"/>
    <xdr:pic>
      <xdr:nvPicPr>
        <xdr:cNvPr id="0" name="image336.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39</xdr:row>
      <xdr:rowOff>0</xdr:rowOff>
    </xdr:from>
    <xdr:ext cx="714375" cy="714375"/>
    <xdr:pic>
      <xdr:nvPicPr>
        <xdr:cNvPr id="0" name="image296.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40</xdr:row>
      <xdr:rowOff>0</xdr:rowOff>
    </xdr:from>
    <xdr:ext cx="714375" cy="714375"/>
    <xdr:pic>
      <xdr:nvPicPr>
        <xdr:cNvPr id="0" name="image299.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41</xdr:row>
      <xdr:rowOff>0</xdr:rowOff>
    </xdr:from>
    <xdr:ext cx="714375" cy="714375"/>
    <xdr:pic>
      <xdr:nvPicPr>
        <xdr:cNvPr id="0" name="image295.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42</xdr:row>
      <xdr:rowOff>0</xdr:rowOff>
    </xdr:from>
    <xdr:ext cx="714375" cy="714375"/>
    <xdr:pic>
      <xdr:nvPicPr>
        <xdr:cNvPr id="0" name="image397.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43</xdr:row>
      <xdr:rowOff>0</xdr:rowOff>
    </xdr:from>
    <xdr:ext cx="714375" cy="714375"/>
    <xdr:pic>
      <xdr:nvPicPr>
        <xdr:cNvPr id="0" name="image313.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44</xdr:row>
      <xdr:rowOff>0</xdr:rowOff>
    </xdr:from>
    <xdr:ext cx="714375" cy="714375"/>
    <xdr:pic>
      <xdr:nvPicPr>
        <xdr:cNvPr id="0" name="image298.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45</xdr:row>
      <xdr:rowOff>0</xdr:rowOff>
    </xdr:from>
    <xdr:ext cx="714375" cy="714375"/>
    <xdr:pic>
      <xdr:nvPicPr>
        <xdr:cNvPr id="0" name="image302.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46</xdr:row>
      <xdr:rowOff>0</xdr:rowOff>
    </xdr:from>
    <xdr:ext cx="714375" cy="714375"/>
    <xdr:pic>
      <xdr:nvPicPr>
        <xdr:cNvPr id="0" name="image311.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47</xdr:row>
      <xdr:rowOff>0</xdr:rowOff>
    </xdr:from>
    <xdr:ext cx="714375" cy="714375"/>
    <xdr:pic>
      <xdr:nvPicPr>
        <xdr:cNvPr id="0" name="image314.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48</xdr:row>
      <xdr:rowOff>0</xdr:rowOff>
    </xdr:from>
    <xdr:ext cx="714375" cy="714375"/>
    <xdr:pic>
      <xdr:nvPicPr>
        <xdr:cNvPr id="0" name="image312.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49</xdr:row>
      <xdr:rowOff>0</xdr:rowOff>
    </xdr:from>
    <xdr:ext cx="714375" cy="714375"/>
    <xdr:pic>
      <xdr:nvPicPr>
        <xdr:cNvPr id="0" name="image308.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50</xdr:row>
      <xdr:rowOff>0</xdr:rowOff>
    </xdr:from>
    <xdr:ext cx="714375" cy="714375"/>
    <xdr:pic>
      <xdr:nvPicPr>
        <xdr:cNvPr id="0" name="image307.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51</xdr:row>
      <xdr:rowOff>0</xdr:rowOff>
    </xdr:from>
    <xdr:ext cx="714375" cy="714375"/>
    <xdr:pic>
      <xdr:nvPicPr>
        <xdr:cNvPr id="0" name="image310.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52</xdr:row>
      <xdr:rowOff>0</xdr:rowOff>
    </xdr:from>
    <xdr:ext cx="714375" cy="714375"/>
    <xdr:pic>
      <xdr:nvPicPr>
        <xdr:cNvPr id="0" name="image304.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53</xdr:row>
      <xdr:rowOff>0</xdr:rowOff>
    </xdr:from>
    <xdr:ext cx="714375" cy="714375"/>
    <xdr:pic>
      <xdr:nvPicPr>
        <xdr:cNvPr id="0" name="image305.png"/>
        <xdr:cNvPicPr preferRelativeResize="0"/>
      </xdr:nvPicPr>
      <xdr:blipFill>
        <a:blip cstate="print" r:embed="rId53"/>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714375" cy="714375"/>
    <xdr:pic>
      <xdr:nvPicPr>
        <xdr:cNvPr id="0" name="image303.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714375" cy="714375"/>
    <xdr:pic>
      <xdr:nvPicPr>
        <xdr:cNvPr id="0" name="image306.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714375" cy="714375"/>
    <xdr:pic>
      <xdr:nvPicPr>
        <xdr:cNvPr id="0" name="image309.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714375" cy="714375"/>
    <xdr:pic>
      <xdr:nvPicPr>
        <xdr:cNvPr id="0" name="image324.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714375" cy="714375"/>
    <xdr:pic>
      <xdr:nvPicPr>
        <xdr:cNvPr id="0" name="image315.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714375" cy="714375"/>
    <xdr:pic>
      <xdr:nvPicPr>
        <xdr:cNvPr id="0" name="image317.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714375" cy="714375"/>
    <xdr:pic>
      <xdr:nvPicPr>
        <xdr:cNvPr id="0" name="image322.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714375" cy="714375"/>
    <xdr:pic>
      <xdr:nvPicPr>
        <xdr:cNvPr id="0" name="image325.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714375" cy="714375"/>
    <xdr:pic>
      <xdr:nvPicPr>
        <xdr:cNvPr id="0" name="image321.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714375" cy="714375"/>
    <xdr:pic>
      <xdr:nvPicPr>
        <xdr:cNvPr id="0" name="image316.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714375" cy="714375"/>
    <xdr:pic>
      <xdr:nvPicPr>
        <xdr:cNvPr id="0" name="image320.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714375" cy="714375"/>
    <xdr:pic>
      <xdr:nvPicPr>
        <xdr:cNvPr id="0" name="image329.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714375" cy="714375"/>
    <xdr:pic>
      <xdr:nvPicPr>
        <xdr:cNvPr id="0" name="image333.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714375" cy="714375"/>
    <xdr:pic>
      <xdr:nvPicPr>
        <xdr:cNvPr id="0" name="image318.pn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714375" cy="714375"/>
    <xdr:pic>
      <xdr:nvPicPr>
        <xdr:cNvPr id="0" name="image330.pn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714375" cy="714375"/>
    <xdr:pic>
      <xdr:nvPicPr>
        <xdr:cNvPr id="0" name="image328.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714375" cy="714375"/>
    <xdr:pic>
      <xdr:nvPicPr>
        <xdr:cNvPr id="0" name="image339.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714375" cy="714375"/>
    <xdr:pic>
      <xdr:nvPicPr>
        <xdr:cNvPr id="0" name="image326.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714375" cy="714375"/>
    <xdr:pic>
      <xdr:nvPicPr>
        <xdr:cNvPr id="0" name="image332.pn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714375" cy="714375"/>
    <xdr:pic>
      <xdr:nvPicPr>
        <xdr:cNvPr id="0" name="image331.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714375" cy="714375"/>
    <xdr:pic>
      <xdr:nvPicPr>
        <xdr:cNvPr id="0" name="image319.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714375" cy="714375"/>
    <xdr:pic>
      <xdr:nvPicPr>
        <xdr:cNvPr id="0" name="image323.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714375" cy="714375"/>
    <xdr:pic>
      <xdr:nvPicPr>
        <xdr:cNvPr id="0" name="image327.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714375" cy="714375"/>
    <xdr:pic>
      <xdr:nvPicPr>
        <xdr:cNvPr id="0" name="image334.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714375" cy="714375"/>
    <xdr:pic>
      <xdr:nvPicPr>
        <xdr:cNvPr id="0" name="image338.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714375" cy="714375"/>
    <xdr:pic>
      <xdr:nvPicPr>
        <xdr:cNvPr id="0" name="image335.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27</xdr:row>
      <xdr:rowOff>0</xdr:rowOff>
    </xdr:from>
    <xdr:ext cx="714375" cy="714375"/>
    <xdr:pic>
      <xdr:nvPicPr>
        <xdr:cNvPr id="0" name="image337.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28</xdr:row>
      <xdr:rowOff>0</xdr:rowOff>
    </xdr:from>
    <xdr:ext cx="714375" cy="714375"/>
    <xdr:pic>
      <xdr:nvPicPr>
        <xdr:cNvPr id="0" name="image343.pn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29</xdr:row>
      <xdr:rowOff>0</xdr:rowOff>
    </xdr:from>
    <xdr:ext cx="714375" cy="714375"/>
    <xdr:pic>
      <xdr:nvPicPr>
        <xdr:cNvPr id="0" name="image341.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30</xdr:row>
      <xdr:rowOff>0</xdr:rowOff>
    </xdr:from>
    <xdr:ext cx="714375" cy="714375"/>
    <xdr:pic>
      <xdr:nvPicPr>
        <xdr:cNvPr id="0" name="image361.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31</xdr:row>
      <xdr:rowOff>0</xdr:rowOff>
    </xdr:from>
    <xdr:ext cx="714375" cy="714375"/>
    <xdr:pic>
      <xdr:nvPicPr>
        <xdr:cNvPr id="0" name="image346.pn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32</xdr:row>
      <xdr:rowOff>0</xdr:rowOff>
    </xdr:from>
    <xdr:ext cx="714375" cy="714375"/>
    <xdr:pic>
      <xdr:nvPicPr>
        <xdr:cNvPr id="0" name="image347.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33</xdr:row>
      <xdr:rowOff>0</xdr:rowOff>
    </xdr:from>
    <xdr:ext cx="714375" cy="714375"/>
    <xdr:pic>
      <xdr:nvPicPr>
        <xdr:cNvPr id="0" name="image340.pn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34</xdr:row>
      <xdr:rowOff>0</xdr:rowOff>
    </xdr:from>
    <xdr:ext cx="714375" cy="714375"/>
    <xdr:pic>
      <xdr:nvPicPr>
        <xdr:cNvPr id="0" name="image344.pn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35</xdr:row>
      <xdr:rowOff>0</xdr:rowOff>
    </xdr:from>
    <xdr:ext cx="714375" cy="714375"/>
    <xdr:pic>
      <xdr:nvPicPr>
        <xdr:cNvPr id="0" name="image349.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36</xdr:row>
      <xdr:rowOff>0</xdr:rowOff>
    </xdr:from>
    <xdr:ext cx="714375" cy="714375"/>
    <xdr:pic>
      <xdr:nvPicPr>
        <xdr:cNvPr id="0" name="image354.pn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37</xdr:row>
      <xdr:rowOff>0</xdr:rowOff>
    </xdr:from>
    <xdr:ext cx="714375" cy="714375"/>
    <xdr:pic>
      <xdr:nvPicPr>
        <xdr:cNvPr id="0" name="image351.pn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38</xdr:row>
      <xdr:rowOff>0</xdr:rowOff>
    </xdr:from>
    <xdr:ext cx="714375" cy="714375"/>
    <xdr:pic>
      <xdr:nvPicPr>
        <xdr:cNvPr id="0" name="image348.pn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39</xdr:row>
      <xdr:rowOff>0</xdr:rowOff>
    </xdr:from>
    <xdr:ext cx="714375" cy="714375"/>
    <xdr:pic>
      <xdr:nvPicPr>
        <xdr:cNvPr id="0" name="image353.pn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40</xdr:row>
      <xdr:rowOff>0</xdr:rowOff>
    </xdr:from>
    <xdr:ext cx="714375" cy="714375"/>
    <xdr:pic>
      <xdr:nvPicPr>
        <xdr:cNvPr id="0" name="image350.pn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41</xdr:row>
      <xdr:rowOff>0</xdr:rowOff>
    </xdr:from>
    <xdr:ext cx="714375" cy="714375"/>
    <xdr:pic>
      <xdr:nvPicPr>
        <xdr:cNvPr id="0" name="image356.pn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42</xdr:row>
      <xdr:rowOff>0</xdr:rowOff>
    </xdr:from>
    <xdr:ext cx="714375" cy="714375"/>
    <xdr:pic>
      <xdr:nvPicPr>
        <xdr:cNvPr id="0" name="image342.pn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43</xdr:row>
      <xdr:rowOff>0</xdr:rowOff>
    </xdr:from>
    <xdr:ext cx="714375" cy="714375"/>
    <xdr:pic>
      <xdr:nvPicPr>
        <xdr:cNvPr id="0" name="image345.pn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44</xdr:row>
      <xdr:rowOff>0</xdr:rowOff>
    </xdr:from>
    <xdr:ext cx="714375" cy="714375"/>
    <xdr:pic>
      <xdr:nvPicPr>
        <xdr:cNvPr id="0" name="image352.pn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45</xdr:row>
      <xdr:rowOff>0</xdr:rowOff>
    </xdr:from>
    <xdr:ext cx="714375" cy="714375"/>
    <xdr:pic>
      <xdr:nvPicPr>
        <xdr:cNvPr id="0" name="image362.pn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46</xdr:row>
      <xdr:rowOff>0</xdr:rowOff>
    </xdr:from>
    <xdr:ext cx="714375" cy="714375"/>
    <xdr:pic>
      <xdr:nvPicPr>
        <xdr:cNvPr id="0" name="image355.pn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47</xdr:row>
      <xdr:rowOff>0</xdr:rowOff>
    </xdr:from>
    <xdr:ext cx="714375" cy="714375"/>
    <xdr:pic>
      <xdr:nvPicPr>
        <xdr:cNvPr id="0" name="image357.pn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48</xdr:row>
      <xdr:rowOff>0</xdr:rowOff>
    </xdr:from>
    <xdr:ext cx="714375" cy="714375"/>
    <xdr:pic>
      <xdr:nvPicPr>
        <xdr:cNvPr id="0" name="image363.pn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49</xdr:row>
      <xdr:rowOff>0</xdr:rowOff>
    </xdr:from>
    <xdr:ext cx="714375" cy="714375"/>
    <xdr:pic>
      <xdr:nvPicPr>
        <xdr:cNvPr id="0" name="image358.pn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0</xdr:colOff>
      <xdr:row>50</xdr:row>
      <xdr:rowOff>0</xdr:rowOff>
    </xdr:from>
    <xdr:ext cx="714375" cy="714375"/>
    <xdr:pic>
      <xdr:nvPicPr>
        <xdr:cNvPr id="0" name="image359.png"/>
        <xdr:cNvPicPr preferRelativeResize="0"/>
      </xdr:nvPicPr>
      <xdr:blipFill>
        <a:blip cstate="print" r:embed="rId50"/>
        <a:stretch>
          <a:fillRect/>
        </a:stretch>
      </xdr:blipFill>
      <xdr:spPr>
        <a:prstGeom prst="rect">
          <a:avLst/>
        </a:prstGeom>
        <a:noFill/>
      </xdr:spPr>
    </xdr:pic>
    <xdr:clientData fLocksWithSheet="0"/>
  </xdr:oneCellAnchor>
  <xdr:oneCellAnchor>
    <xdr:from>
      <xdr:col>1</xdr:col>
      <xdr:colOff>0</xdr:colOff>
      <xdr:row>51</xdr:row>
      <xdr:rowOff>0</xdr:rowOff>
    </xdr:from>
    <xdr:ext cx="714375" cy="714375"/>
    <xdr:pic>
      <xdr:nvPicPr>
        <xdr:cNvPr id="0" name="image370.png"/>
        <xdr:cNvPicPr preferRelativeResize="0"/>
      </xdr:nvPicPr>
      <xdr:blipFill>
        <a:blip cstate="print" r:embed="rId51"/>
        <a:stretch>
          <a:fillRect/>
        </a:stretch>
      </xdr:blipFill>
      <xdr:spPr>
        <a:prstGeom prst="rect">
          <a:avLst/>
        </a:prstGeom>
        <a:noFill/>
      </xdr:spPr>
    </xdr:pic>
    <xdr:clientData fLocksWithSheet="0"/>
  </xdr:oneCellAnchor>
  <xdr:oneCellAnchor>
    <xdr:from>
      <xdr:col>1</xdr:col>
      <xdr:colOff>0</xdr:colOff>
      <xdr:row>52</xdr:row>
      <xdr:rowOff>0</xdr:rowOff>
    </xdr:from>
    <xdr:ext cx="714375" cy="714375"/>
    <xdr:pic>
      <xdr:nvPicPr>
        <xdr:cNvPr id="0" name="image360.png"/>
        <xdr:cNvPicPr preferRelativeResize="0"/>
      </xdr:nvPicPr>
      <xdr:blipFill>
        <a:blip cstate="print" r:embed="rId52"/>
        <a:stretch>
          <a:fillRect/>
        </a:stretch>
      </xdr:blipFill>
      <xdr:spPr>
        <a:prstGeom prst="rect">
          <a:avLst/>
        </a:prstGeom>
        <a:noFill/>
      </xdr:spPr>
    </xdr:pic>
    <xdr:clientData fLocksWithSheet="0"/>
  </xdr:oneCellAnchor>
  <xdr:oneCellAnchor>
    <xdr:from>
      <xdr:col>1</xdr:col>
      <xdr:colOff>0</xdr:colOff>
      <xdr:row>53</xdr:row>
      <xdr:rowOff>0</xdr:rowOff>
    </xdr:from>
    <xdr:ext cx="714375" cy="714375"/>
    <xdr:pic>
      <xdr:nvPicPr>
        <xdr:cNvPr id="0" name="image364.png"/>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0</xdr:colOff>
      <xdr:row>54</xdr:row>
      <xdr:rowOff>0</xdr:rowOff>
    </xdr:from>
    <xdr:ext cx="714375" cy="714375"/>
    <xdr:pic>
      <xdr:nvPicPr>
        <xdr:cNvPr id="0" name="image365.pn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55</xdr:row>
      <xdr:rowOff>0</xdr:rowOff>
    </xdr:from>
    <xdr:ext cx="714375" cy="714375"/>
    <xdr:pic>
      <xdr:nvPicPr>
        <xdr:cNvPr id="0" name="image369.png"/>
        <xdr:cNvPicPr preferRelativeResize="0"/>
      </xdr:nvPicPr>
      <xdr:blipFill>
        <a:blip cstate="print" r:embed="rId55"/>
        <a:stretch>
          <a:fillRect/>
        </a:stretch>
      </xdr:blipFill>
      <xdr:spPr>
        <a:prstGeom prst="rect">
          <a:avLst/>
        </a:prstGeom>
        <a:noFill/>
      </xdr:spPr>
    </xdr:pic>
    <xdr:clientData fLocksWithSheet="0"/>
  </xdr:oneCellAnchor>
  <xdr:oneCellAnchor>
    <xdr:from>
      <xdr:col>1</xdr:col>
      <xdr:colOff>0</xdr:colOff>
      <xdr:row>56</xdr:row>
      <xdr:rowOff>0</xdr:rowOff>
    </xdr:from>
    <xdr:ext cx="714375" cy="714375"/>
    <xdr:pic>
      <xdr:nvPicPr>
        <xdr:cNvPr id="0" name="image371.png"/>
        <xdr:cNvPicPr preferRelativeResize="0"/>
      </xdr:nvPicPr>
      <xdr:blipFill>
        <a:blip cstate="print" r:embed="rId56"/>
        <a:stretch>
          <a:fillRect/>
        </a:stretch>
      </xdr:blipFill>
      <xdr:spPr>
        <a:prstGeom prst="rect">
          <a:avLst/>
        </a:prstGeom>
        <a:noFill/>
      </xdr:spPr>
    </xdr:pic>
    <xdr:clientData fLocksWithSheet="0"/>
  </xdr:oneCellAnchor>
  <xdr:oneCellAnchor>
    <xdr:from>
      <xdr:col>1</xdr:col>
      <xdr:colOff>0</xdr:colOff>
      <xdr:row>57</xdr:row>
      <xdr:rowOff>0</xdr:rowOff>
    </xdr:from>
    <xdr:ext cx="714375" cy="714375"/>
    <xdr:pic>
      <xdr:nvPicPr>
        <xdr:cNvPr id="0" name="image366.png"/>
        <xdr:cNvPicPr preferRelativeResize="0"/>
      </xdr:nvPicPr>
      <xdr:blipFill>
        <a:blip cstate="print" r:embed="rId57"/>
        <a:stretch>
          <a:fillRect/>
        </a:stretch>
      </xdr:blipFill>
      <xdr:spPr>
        <a:prstGeom prst="rect">
          <a:avLst/>
        </a:prstGeom>
        <a:noFill/>
      </xdr:spPr>
    </xdr:pic>
    <xdr:clientData fLocksWithSheet="0"/>
  </xdr:oneCellAnchor>
  <xdr:oneCellAnchor>
    <xdr:from>
      <xdr:col>1</xdr:col>
      <xdr:colOff>0</xdr:colOff>
      <xdr:row>58</xdr:row>
      <xdr:rowOff>0</xdr:rowOff>
    </xdr:from>
    <xdr:ext cx="714375" cy="714375"/>
    <xdr:pic>
      <xdr:nvPicPr>
        <xdr:cNvPr id="0" name="image373.png"/>
        <xdr:cNvPicPr preferRelativeResize="0"/>
      </xdr:nvPicPr>
      <xdr:blipFill>
        <a:blip cstate="print" r:embed="rId58"/>
        <a:stretch>
          <a:fillRect/>
        </a:stretch>
      </xdr:blipFill>
      <xdr:spPr>
        <a:prstGeom prst="rect">
          <a:avLst/>
        </a:prstGeom>
        <a:noFill/>
      </xdr:spPr>
    </xdr:pic>
    <xdr:clientData fLocksWithSheet="0"/>
  </xdr:oneCellAnchor>
  <xdr:oneCellAnchor>
    <xdr:from>
      <xdr:col>1</xdr:col>
      <xdr:colOff>0</xdr:colOff>
      <xdr:row>59</xdr:row>
      <xdr:rowOff>0</xdr:rowOff>
    </xdr:from>
    <xdr:ext cx="714375" cy="714375"/>
    <xdr:pic>
      <xdr:nvPicPr>
        <xdr:cNvPr id="0" name="image368.png"/>
        <xdr:cNvPicPr preferRelativeResize="0"/>
      </xdr:nvPicPr>
      <xdr:blipFill>
        <a:blip cstate="print" r:embed="rId59"/>
        <a:stretch>
          <a:fillRect/>
        </a:stretch>
      </xdr:blipFill>
      <xdr:spPr>
        <a:prstGeom prst="rect">
          <a:avLst/>
        </a:prstGeom>
        <a:noFill/>
      </xdr:spPr>
    </xdr:pic>
    <xdr:clientData fLocksWithSheet="0"/>
  </xdr:oneCellAnchor>
  <xdr:oneCellAnchor>
    <xdr:from>
      <xdr:col>1</xdr:col>
      <xdr:colOff>0</xdr:colOff>
      <xdr:row>60</xdr:row>
      <xdr:rowOff>0</xdr:rowOff>
    </xdr:from>
    <xdr:ext cx="714375" cy="714375"/>
    <xdr:pic>
      <xdr:nvPicPr>
        <xdr:cNvPr id="0" name="image376.pn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61</xdr:row>
      <xdr:rowOff>0</xdr:rowOff>
    </xdr:from>
    <xdr:ext cx="714375" cy="714375"/>
    <xdr:pic>
      <xdr:nvPicPr>
        <xdr:cNvPr id="0" name="image377.png"/>
        <xdr:cNvPicPr preferRelativeResize="0"/>
      </xdr:nvPicPr>
      <xdr:blipFill>
        <a:blip cstate="print" r:embed="rId61"/>
        <a:stretch>
          <a:fillRect/>
        </a:stretch>
      </xdr:blipFill>
      <xdr:spPr>
        <a:prstGeom prst="rect">
          <a:avLst/>
        </a:prstGeom>
        <a:noFill/>
      </xdr:spPr>
    </xdr:pic>
    <xdr:clientData fLocksWithSheet="0"/>
  </xdr:oneCellAnchor>
  <xdr:oneCellAnchor>
    <xdr:from>
      <xdr:col>1</xdr:col>
      <xdr:colOff>0</xdr:colOff>
      <xdr:row>62</xdr:row>
      <xdr:rowOff>0</xdr:rowOff>
    </xdr:from>
    <xdr:ext cx="714375" cy="714375"/>
    <xdr:pic>
      <xdr:nvPicPr>
        <xdr:cNvPr id="0" name="image374.png"/>
        <xdr:cNvPicPr preferRelativeResize="0"/>
      </xdr:nvPicPr>
      <xdr:blipFill>
        <a:blip cstate="print" r:embed="rId62"/>
        <a:stretch>
          <a:fillRect/>
        </a:stretch>
      </xdr:blipFill>
      <xdr:spPr>
        <a:prstGeom prst="rect">
          <a:avLst/>
        </a:prstGeom>
        <a:noFill/>
      </xdr:spPr>
    </xdr:pic>
    <xdr:clientData fLocksWithSheet="0"/>
  </xdr:oneCellAnchor>
  <xdr:oneCellAnchor>
    <xdr:from>
      <xdr:col>1</xdr:col>
      <xdr:colOff>0</xdr:colOff>
      <xdr:row>63</xdr:row>
      <xdr:rowOff>0</xdr:rowOff>
    </xdr:from>
    <xdr:ext cx="714375" cy="714375"/>
    <xdr:pic>
      <xdr:nvPicPr>
        <xdr:cNvPr id="0" name="image375.png"/>
        <xdr:cNvPicPr preferRelativeResize="0"/>
      </xdr:nvPicPr>
      <xdr:blipFill>
        <a:blip cstate="print" r:embed="rId63"/>
        <a:stretch>
          <a:fillRect/>
        </a:stretch>
      </xdr:blipFill>
      <xdr:spPr>
        <a:prstGeom prst="rect">
          <a:avLst/>
        </a:prstGeom>
        <a:noFill/>
      </xdr:spPr>
    </xdr:pic>
    <xdr:clientData fLocksWithSheet="0"/>
  </xdr:oneCellAnchor>
  <xdr:oneCellAnchor>
    <xdr:from>
      <xdr:col>1</xdr:col>
      <xdr:colOff>0</xdr:colOff>
      <xdr:row>64</xdr:row>
      <xdr:rowOff>0</xdr:rowOff>
    </xdr:from>
    <xdr:ext cx="714375" cy="714375"/>
    <xdr:pic>
      <xdr:nvPicPr>
        <xdr:cNvPr id="0" name="image372.png"/>
        <xdr:cNvPicPr preferRelativeResize="0"/>
      </xdr:nvPicPr>
      <xdr:blipFill>
        <a:blip cstate="print" r:embed="rId64"/>
        <a:stretch>
          <a:fillRect/>
        </a:stretch>
      </xdr:blipFill>
      <xdr:spPr>
        <a:prstGeom prst="rect">
          <a:avLst/>
        </a:prstGeom>
        <a:noFill/>
      </xdr:spPr>
    </xdr:pic>
    <xdr:clientData fLocksWithSheet="0"/>
  </xdr:oneCellAnchor>
  <xdr:oneCellAnchor>
    <xdr:from>
      <xdr:col>1</xdr:col>
      <xdr:colOff>0</xdr:colOff>
      <xdr:row>65</xdr:row>
      <xdr:rowOff>0</xdr:rowOff>
    </xdr:from>
    <xdr:ext cx="714375" cy="714375"/>
    <xdr:pic>
      <xdr:nvPicPr>
        <xdr:cNvPr id="0" name="image378.png"/>
        <xdr:cNvPicPr preferRelativeResize="0"/>
      </xdr:nvPicPr>
      <xdr:blipFill>
        <a:blip cstate="print" r:embed="rId65"/>
        <a:stretch>
          <a:fillRect/>
        </a:stretch>
      </xdr:blipFill>
      <xdr:spPr>
        <a:prstGeom prst="rect">
          <a:avLst/>
        </a:prstGeom>
        <a:noFill/>
      </xdr:spPr>
    </xdr:pic>
    <xdr:clientData fLocksWithSheet="0"/>
  </xdr:oneCellAnchor>
  <xdr:oneCellAnchor>
    <xdr:from>
      <xdr:col>1</xdr:col>
      <xdr:colOff>0</xdr:colOff>
      <xdr:row>66</xdr:row>
      <xdr:rowOff>0</xdr:rowOff>
    </xdr:from>
    <xdr:ext cx="714375" cy="714375"/>
    <xdr:pic>
      <xdr:nvPicPr>
        <xdr:cNvPr id="0" name="image380.png"/>
        <xdr:cNvPicPr preferRelativeResize="0"/>
      </xdr:nvPicPr>
      <xdr:blipFill>
        <a:blip cstate="print" r:embed="rId66"/>
        <a:stretch>
          <a:fillRect/>
        </a:stretch>
      </xdr:blipFill>
      <xdr:spPr>
        <a:prstGeom prst="rect">
          <a:avLst/>
        </a:prstGeom>
        <a:noFill/>
      </xdr:spPr>
    </xdr:pic>
    <xdr:clientData fLocksWithSheet="0"/>
  </xdr:oneCellAnchor>
  <xdr:oneCellAnchor>
    <xdr:from>
      <xdr:col>1</xdr:col>
      <xdr:colOff>0</xdr:colOff>
      <xdr:row>67</xdr:row>
      <xdr:rowOff>0</xdr:rowOff>
    </xdr:from>
    <xdr:ext cx="714375" cy="714375"/>
    <xdr:pic>
      <xdr:nvPicPr>
        <xdr:cNvPr id="0" name="image382.png"/>
        <xdr:cNvPicPr preferRelativeResize="0"/>
      </xdr:nvPicPr>
      <xdr:blipFill>
        <a:blip cstate="print" r:embed="rId67"/>
        <a:stretch>
          <a:fillRect/>
        </a:stretch>
      </xdr:blipFill>
      <xdr:spPr>
        <a:prstGeom prst="rect">
          <a:avLst/>
        </a:prstGeom>
        <a:noFill/>
      </xdr:spPr>
    </xdr:pic>
    <xdr:clientData fLocksWithSheet="0"/>
  </xdr:oneCellAnchor>
  <xdr:oneCellAnchor>
    <xdr:from>
      <xdr:col>1</xdr:col>
      <xdr:colOff>0</xdr:colOff>
      <xdr:row>68</xdr:row>
      <xdr:rowOff>0</xdr:rowOff>
    </xdr:from>
    <xdr:ext cx="714375" cy="714375"/>
    <xdr:pic>
      <xdr:nvPicPr>
        <xdr:cNvPr id="0" name="image367.png"/>
        <xdr:cNvPicPr preferRelativeResize="0"/>
      </xdr:nvPicPr>
      <xdr:blipFill>
        <a:blip cstate="print" r:embed="rId68"/>
        <a:stretch>
          <a:fillRect/>
        </a:stretch>
      </xdr:blipFill>
      <xdr:spPr>
        <a:prstGeom prst="rect">
          <a:avLst/>
        </a:prstGeom>
        <a:noFill/>
      </xdr:spPr>
    </xdr:pic>
    <xdr:clientData fLocksWithSheet="0"/>
  </xdr:oneCellAnchor>
  <xdr:oneCellAnchor>
    <xdr:from>
      <xdr:col>1</xdr:col>
      <xdr:colOff>0</xdr:colOff>
      <xdr:row>69</xdr:row>
      <xdr:rowOff>0</xdr:rowOff>
    </xdr:from>
    <xdr:ext cx="714375" cy="714375"/>
    <xdr:pic>
      <xdr:nvPicPr>
        <xdr:cNvPr id="0" name="image379.png"/>
        <xdr:cNvPicPr preferRelativeResize="0"/>
      </xdr:nvPicPr>
      <xdr:blipFill>
        <a:blip cstate="print" r:embed="rId69"/>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714375" cy="714375"/>
    <xdr:pic>
      <xdr:nvPicPr>
        <xdr:cNvPr id="0" name="image395.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714375" cy="714375"/>
    <xdr:pic>
      <xdr:nvPicPr>
        <xdr:cNvPr id="0" name="image385.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714375" cy="714375"/>
    <xdr:pic>
      <xdr:nvPicPr>
        <xdr:cNvPr id="0" name="image386.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714375" cy="714375"/>
    <xdr:pic>
      <xdr:nvPicPr>
        <xdr:cNvPr id="0" name="image384.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714375" cy="714375"/>
    <xdr:pic>
      <xdr:nvPicPr>
        <xdr:cNvPr id="0" name="image381.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714375" cy="714375"/>
    <xdr:pic>
      <xdr:nvPicPr>
        <xdr:cNvPr id="0" name="image383.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714375" cy="714375"/>
    <xdr:pic>
      <xdr:nvPicPr>
        <xdr:cNvPr id="0" name="image393.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714375" cy="714375"/>
    <xdr:pic>
      <xdr:nvPicPr>
        <xdr:cNvPr id="0" name="image389.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714375" cy="714375"/>
    <xdr:pic>
      <xdr:nvPicPr>
        <xdr:cNvPr id="0" name="image392.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714375" cy="714375"/>
    <xdr:pic>
      <xdr:nvPicPr>
        <xdr:cNvPr id="0" name="image394.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714375" cy="714375"/>
    <xdr:pic>
      <xdr:nvPicPr>
        <xdr:cNvPr id="0" name="image390.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714375" cy="714375"/>
    <xdr:pic>
      <xdr:nvPicPr>
        <xdr:cNvPr id="0" name="image387.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714375" cy="714375"/>
    <xdr:pic>
      <xdr:nvPicPr>
        <xdr:cNvPr id="0" name="image391.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714375" cy="714375"/>
    <xdr:pic>
      <xdr:nvPicPr>
        <xdr:cNvPr id="0" name="image388.png"/>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ables/table1.xml><?xml version="1.0" encoding="utf-8"?>
<table xmlns="http://schemas.openxmlformats.org/spreadsheetml/2006/main" ref="A1:AC210" displayName="Table_1" id="1">
  <tableColumns count="29">
    <tableColumn name="ID" id="1"/>
    <tableColumn name="Type" id="2"/>
    <tableColumn name="Ship" id="3"/>
    <tableColumn name="Rarity" id="4"/>
    <tableColumn name="HP" id="5"/>
    <tableColumn name="FP" id="6"/>
    <tableColumn name="TRP" id="7"/>
    <tableColumn name="AVI" id="8"/>
    <tableColumn name="AA" id="9"/>
    <tableColumn name="RLD" id="10"/>
    <tableColumn name="EVA" id="11"/>
    <tableColumn name="Armor" id="12"/>
    <tableColumn name="SPD" id="13"/>
    <tableColumn name="ACC" id="14"/>
    <tableColumn name="LCK" id="15"/>
    <tableColumn name="ASW" id="16"/>
    <tableColumn name="OIL" id="17"/>
    <tableColumn name="OXY" id="18"/>
    <tableColumn name="AMO" id="19"/>
    <tableColumn name="Faction" id="20"/>
    <tableColumn name="Skill 1" id="21"/>
    <tableColumn name="Skill 2" id="22"/>
    <tableColumn name="Retro Skill" id="23"/>
    <tableColumn name="All Out Assault" id="24"/>
    <tableColumn name="Bonus (Max LB)" id="25"/>
    <tableColumn name="Gear 1" id="26"/>
    <tableColumn name="Gear 2" id="27"/>
    <tableColumn name="Gear 3" id="28"/>
    <tableColumn name="Efficiency" id="29"/>
  </tableColumns>
  <tableStyleInfo name="DD-style" showColumnStripes="0" showFirstColumn="1" showLastColumn="1" showRowStripes="1"/>
</table>
</file>

<file path=xl/tables/table10.xml><?xml version="1.0" encoding="utf-8"?>
<table xmlns="http://schemas.openxmlformats.org/spreadsheetml/2006/main" ref="A1:P72" displayName="Table_10" id="10">
  <tableColumns count="16">
    <tableColumn name="Name" id="1"/>
    <tableColumn name="Image" id="2"/>
    <tableColumn name="HP" id="3"/>
    <tableColumn name="FP" id="4"/>
    <tableColumn name="AA" id="5"/>
    <tableColumn name="TRP" id="6"/>
    <tableColumn name="AVI" id="7"/>
    <tableColumn name="RLD" id="8"/>
    <tableColumn name="EVA" id="9"/>
    <tableColumn name="ACC" id="10"/>
    <tableColumn name="SPD" id="11"/>
    <tableColumn name="LCK" id="12"/>
    <tableColumn name="ASW" id="13"/>
    <tableColumn name="OXY" id="14"/>
    <tableColumn name="Notes" id="15"/>
    <tableColumn name="Acquisiton/Drop" id="16"/>
  </tableColumns>
  <tableStyleInfo name="Aux Gear-style" showColumnStripes="0" showFirstColumn="1" showLastColumn="1" showRowStripes="1"/>
</table>
</file>

<file path=xl/tables/table11.xml><?xml version="1.0" encoding="utf-8"?>
<table xmlns="http://schemas.openxmlformats.org/spreadsheetml/2006/main" ref="A1:G17" displayName="Table_11" id="11">
  <tableColumns count="7">
    <tableColumn name="Weapon" id="1"/>
    <tableColumn name="Image" id="2"/>
    <tableColumn name="Damage" id="3"/>
    <tableColumn name="Reload" id="4"/>
    <tableColumn name="DPS" id="5"/>
    <tableColumn name="Drop" id="6"/>
    <tableColumn name="Notes" id="7"/>
  </tableColumns>
  <tableStyleInfo name="ASW Gear-style" showColumnStripes="0" showFirstColumn="1" showLastColumn="1" showRowStripes="1"/>
</table>
</file>

<file path=xl/tables/table12.xml><?xml version="1.0" encoding="utf-8"?>
<table xmlns="http://schemas.openxmlformats.org/spreadsheetml/2006/main" ref="A1:L30" displayName="Table_12" id="12">
  <tableColumns count="12">
    <tableColumn name="Portrait" id="1"/>
    <tableColumn name="Name" id="2"/>
    <tableColumn name="Nation" id="3"/>
    <tableColumn name="Logistics" id="4"/>
    <tableColumn name="Directives" id="5"/>
    <tableColumn name="Tactics" id="6"/>
    <tableColumn name="Skill Name" id="7"/>
    <tableColumn name="Skill lvl 1" id="8"/>
    <tableColumn name="Skill lvl 2" id="9"/>
    <tableColumn name="Skill lvl 3" id="10"/>
    <tableColumn name="Build Time" id="11"/>
    <tableColumn name="Tags" id="12"/>
  </tableColumns>
  <tableStyleInfo name="Meowfficers-style" showColumnStripes="0" showFirstColumn="1" showLastColumn="1" showRowStripes="1"/>
</table>
</file>

<file path=xl/tables/table2.xml><?xml version="1.0" encoding="utf-8"?>
<table xmlns="http://schemas.openxmlformats.org/spreadsheetml/2006/main" ref="A1:AF122" displayName="Table_2" id="2">
  <tableColumns count="32">
    <tableColumn name="ID" id="1"/>
    <tableColumn name="Type" id="2"/>
    <tableColumn name="Ship" id="3"/>
    <tableColumn name="Rarity" id="4"/>
    <tableColumn name="HP" id="5"/>
    <tableColumn name="FP" id="6"/>
    <tableColumn name="TRP" id="7"/>
    <tableColumn name="AVI" id="8"/>
    <tableColumn name="AA" id="9"/>
    <tableColumn name="RLD" id="10"/>
    <tableColumn name="EVA" id="11"/>
    <tableColumn name="Armor" id="12"/>
    <tableColumn name="SPD" id="13"/>
    <tableColumn name="ACC" id="14"/>
    <tableColumn name="LCK" id="15"/>
    <tableColumn name="ASW" id="16"/>
    <tableColumn name="OIL" id="17"/>
    <tableColumn name="OXY" id="18"/>
    <tableColumn name="AMO" id="19"/>
    <tableColumn name="Faction" id="20"/>
    <tableColumn name="Skill 1" id="21"/>
    <tableColumn name="Skill 2" id="22"/>
    <tableColumn name="Retro Skill" id="23"/>
    <tableColumn name="All Out Assault" id="24"/>
    <tableColumn name="Gear 1" id="25"/>
    <tableColumn name="Gear 2" id="26"/>
    <tableColumn name="Gear 3" id="27"/>
    <tableColumn name="Efficiency" id="28"/>
    <tableColumn name="Main Gun" id="29"/>
    <tableColumn name="Torp Cap" id="30"/>
    <tableColumn name="Torp Preload" id="31"/>
    <tableColumn name="AA Mount" id="32"/>
  </tableColumns>
  <tableStyleInfo name="CL-style" showColumnStripes="0" showFirstColumn="1" showLastColumn="1" showRowStripes="1"/>
</table>
</file>

<file path=xl/tables/table3.xml><?xml version="1.0" encoding="utf-8"?>
<table xmlns="http://schemas.openxmlformats.org/spreadsheetml/2006/main" ref="A1:AF82" displayName="Table_3" id="3">
  <tableColumns count="32">
    <tableColumn name="ID" id="1"/>
    <tableColumn name="Type" id="2"/>
    <tableColumn name="Ship" id="3"/>
    <tableColumn name="Rarity" id="4"/>
    <tableColumn name="HP" id="5"/>
    <tableColumn name="FP" id="6"/>
    <tableColumn name="TRP" id="7"/>
    <tableColumn name="AVI" id="8"/>
    <tableColumn name="AA" id="9"/>
    <tableColumn name="RLD" id="10"/>
    <tableColumn name="EVA" id="11"/>
    <tableColumn name="Armor" id="12"/>
    <tableColumn name="SPD" id="13"/>
    <tableColumn name="ACC" id="14"/>
    <tableColumn name="LCK" id="15"/>
    <tableColumn name="ASW" id="16"/>
    <tableColumn name="OIL" id="17"/>
    <tableColumn name="OXY" id="18"/>
    <tableColumn name="AMO" id="19"/>
    <tableColumn name="Faction" id="20"/>
    <tableColumn name="Skill 1" id="21"/>
    <tableColumn name="Skill 2" id="22"/>
    <tableColumn name="Retro Skill" id="23"/>
    <tableColumn name="All Out Assault" id="24"/>
    <tableColumn name="Gear 1" id="25"/>
    <tableColumn name="Gear 2" id="26"/>
    <tableColumn name="Gear 3" id="27"/>
    <tableColumn name="Efficiency" id="28"/>
    <tableColumn name="Main Gun" id="29"/>
    <tableColumn name="Torp Cap" id="30"/>
    <tableColumn name="Torp Preload" id="31"/>
    <tableColumn name="AA Mount" id="32"/>
  </tableColumns>
  <tableStyleInfo name="CA-style" showColumnStripes="0" showFirstColumn="1" showLastColumn="1" showRowStripes="1"/>
</table>
</file>

<file path=xl/tables/table4.xml><?xml version="1.0" encoding="utf-8"?>
<table xmlns="http://schemas.openxmlformats.org/spreadsheetml/2006/main" ref="A1:AF210" displayName="Table_4" id="4">
  <tableColumns count="32">
    <tableColumn name="ID" id="1"/>
    <tableColumn name="Type" id="2"/>
    <tableColumn name="Ship" id="3"/>
    <tableColumn name="Rarity" id="4"/>
    <tableColumn name="HP" id="5"/>
    <tableColumn name="FP" id="6"/>
    <tableColumn name="TRP" id="7"/>
    <tableColumn name="AVI" id="8"/>
    <tableColumn name="AA" id="9"/>
    <tableColumn name="RLD" id="10"/>
    <tableColumn name="EVA" id="11"/>
    <tableColumn name="Armor" id="12"/>
    <tableColumn name="SPD" id="13"/>
    <tableColumn name="ACC" id="14"/>
    <tableColumn name="LCK" id="15"/>
    <tableColumn name="ASW" id="16"/>
    <tableColumn name="OIL" id="17"/>
    <tableColumn name="OXY" id="18"/>
    <tableColumn name="AMO" id="19"/>
    <tableColumn name="Faction" id="20"/>
    <tableColumn name="Skill 1" id="21"/>
    <tableColumn name="Skill 2" id="22"/>
    <tableColumn name="Retro/Skill 3" id="23"/>
    <tableColumn name="All Out Assault" id="24"/>
    <tableColumn name="Gear 1" id="25"/>
    <tableColumn name="Gear 2" id="26"/>
    <tableColumn name="Gear 3" id="27"/>
    <tableColumn name="Efficiency" id="28"/>
    <tableColumn name="Main Gun" id="29"/>
    <tableColumn name="Torp Cap" id="30"/>
    <tableColumn name="Torp Preload" id="31"/>
    <tableColumn name="AA Mount" id="32"/>
  </tableColumns>
  <tableStyleInfo name="CACL-style" showColumnStripes="0" showFirstColumn="1" showLastColumn="1" showRowStripes="1"/>
</table>
</file>

<file path=xl/tables/table5.xml><?xml version="1.0" encoding="utf-8"?>
<table xmlns="http://schemas.openxmlformats.org/spreadsheetml/2006/main" ref="A1:AB98" displayName="Table_5" id="5">
  <tableColumns count="28">
    <tableColumn name="ID" id="1"/>
    <tableColumn name="Type" id="2"/>
    <tableColumn name="Ship" id="3"/>
    <tableColumn name="Rarity" id="4"/>
    <tableColumn name="HP" id="5"/>
    <tableColumn name="FP" id="6"/>
    <tableColumn name="TRP" id="7"/>
    <tableColumn name="AVI" id="8"/>
    <tableColumn name="AA" id="9"/>
    <tableColumn name="RLD" id="10"/>
    <tableColumn name="EVA" id="11"/>
    <tableColumn name="Armor" id="12"/>
    <tableColumn name="SPD" id="13"/>
    <tableColumn name="ACC" id="14"/>
    <tableColumn name="LCK" id="15"/>
    <tableColumn name="ASW" id="16"/>
    <tableColumn name="OIL" id="17"/>
    <tableColumn name="OXY" id="18"/>
    <tableColumn name="AMO" id="19"/>
    <tableColumn name="Faction" id="20"/>
    <tableColumn name="Skill 1" id="21"/>
    <tableColumn name="Skill 2" id="22"/>
    <tableColumn name="Skill 3" id="23"/>
    <tableColumn name="Retro Skill" id="24"/>
    <tableColumn name="Gear 1" id="25"/>
    <tableColumn name="Gear 2" id="26"/>
    <tableColumn name="Gear 3" id="27"/>
    <tableColumn name="Efficiency" id="28"/>
  </tableColumns>
  <tableStyleInfo name="BBBCBMBBV-style" showColumnStripes="0" showFirstColumn="1" showLastColumn="1" showRowStripes="1"/>
</table>
</file>

<file path=xl/tables/table6.xml><?xml version="1.0" encoding="utf-8"?>
<table xmlns="http://schemas.openxmlformats.org/spreadsheetml/2006/main" ref="A1:AF95" displayName="Table_6" id="6">
  <tableColumns count="32">
    <tableColumn name="ID" id="1"/>
    <tableColumn name="Type" id="2"/>
    <tableColumn name="Ship" id="3"/>
    <tableColumn name="Rarity" id="4"/>
    <tableColumn name="HP" id="5"/>
    <tableColumn name="FP" id="6"/>
    <tableColumn name="TRP" id="7"/>
    <tableColumn name="AVI" id="8"/>
    <tableColumn name="AA" id="9"/>
    <tableColumn name="RLD" id="10"/>
    <tableColumn name="EVA" id="11"/>
    <tableColumn name="Armor" id="12"/>
    <tableColumn name="SPD" id="13"/>
    <tableColumn name="ACC" id="14"/>
    <tableColumn name="LCK" id="15"/>
    <tableColumn name="ASW" id="16"/>
    <tableColumn name="OIL" id="17"/>
    <tableColumn name="OXY" id="18"/>
    <tableColumn name="AMO" id="19"/>
    <tableColumn name="Faction" id="20"/>
    <tableColumn name="ACV" id="21"/>
    <tableColumn name="Skill 1" id="22"/>
    <tableColumn name="Skill 2" id="23"/>
    <tableColumn name="Skill 3" id="24"/>
    <tableColumn name="Retro Skill" id="25"/>
    <tableColumn name="Gear 1" id="26"/>
    <tableColumn name="Gear 2" id="27"/>
    <tableColumn name="Gear 3" id="28"/>
    <tableColumn name="Efficiency" id="29"/>
    <tableColumn name="Fighters" id="30"/>
    <tableColumn name="Dive Bombers" id="31"/>
    <tableColumn name="Torp Bombers" id="32"/>
  </tableColumns>
  <tableStyleInfo name="CVCVLBBV-style" showColumnStripes="0" showFirstColumn="1" showLastColumn="1" showRowStripes="1"/>
</table>
</file>

<file path=xl/tables/table7.xml><?xml version="1.0" encoding="utf-8"?>
<table xmlns="http://schemas.openxmlformats.org/spreadsheetml/2006/main" ref="A1:AB10" displayName="Table_7" id="7">
  <tableColumns count="28">
    <tableColumn name="ID" id="1"/>
    <tableColumn name="Type" id="2"/>
    <tableColumn name="Ship" id="3"/>
    <tableColumn name="Rarity" id="4"/>
    <tableColumn name="HP" id="5"/>
    <tableColumn name="FP" id="6"/>
    <tableColumn name="TRP" id="7"/>
    <tableColumn name="AVI" id="8"/>
    <tableColumn name="AA" id="9"/>
    <tableColumn name="RLD" id="10"/>
    <tableColumn name="EVA" id="11"/>
    <tableColumn name="Armor" id="12"/>
    <tableColumn name="SPD" id="13"/>
    <tableColumn name="ACC" id="14"/>
    <tableColumn name="LCK" id="15"/>
    <tableColumn name="ASW" id="16"/>
    <tableColumn name="OIL" id="17"/>
    <tableColumn name="OXY" id="18"/>
    <tableColumn name="AMO" id="19"/>
    <tableColumn name="Faction" id="20"/>
    <tableColumn name="Skill 1" id="21"/>
    <tableColumn name="Skill 2" id="22"/>
    <tableColumn name="Skill 3" id="23"/>
    <tableColumn name="Retro Skill" id="24"/>
    <tableColumn name="Gear 1" id="25"/>
    <tableColumn name="Gear 2" id="26"/>
    <tableColumn name="Gear 3" id="27"/>
    <tableColumn name="Efficiency" id="28"/>
  </tableColumns>
  <tableStyleInfo name="ARAE-style" showColumnStripes="0" showFirstColumn="1" showLastColumn="1" showRowStripes="1"/>
</table>
</file>

<file path=xl/tables/table8.xml><?xml version="1.0" encoding="utf-8"?>
<table xmlns="http://schemas.openxmlformats.org/spreadsheetml/2006/main" ref="A1:AB35" displayName="Table_8" id="8">
  <tableColumns count="28">
    <tableColumn name="ID" id="1"/>
    <tableColumn name="Type" id="2"/>
    <tableColumn name="Ship" id="3"/>
    <tableColumn name="Rarity" id="4"/>
    <tableColumn name="HP" id="5"/>
    <tableColumn name="FP" id="6"/>
    <tableColumn name="TRP" id="7"/>
    <tableColumn name="AVI" id="8"/>
    <tableColumn name="AA" id="9"/>
    <tableColumn name="RLD" id="10"/>
    <tableColumn name="EVA" id="11"/>
    <tableColumn name="Armor" id="12"/>
    <tableColumn name="SPD" id="13"/>
    <tableColumn name="ACC" id="14"/>
    <tableColumn name="LCK" id="15"/>
    <tableColumn name="ASW" id="16"/>
    <tableColumn name="OIL" id="17"/>
    <tableColumn name="OXY" id="18"/>
    <tableColumn name="AMO" id="19"/>
    <tableColumn name="Faction" id="20"/>
    <tableColumn name="Skill 1" id="21"/>
    <tableColumn name="Skill 2" id="22"/>
    <tableColumn name="Skill 3" id="23"/>
    <tableColumn name="All Out Assault" id="24"/>
    <tableColumn name="Gear 1" id="25"/>
    <tableColumn name="Gear 2" id="26"/>
    <tableColumn name="Gear 3" id="27"/>
    <tableColumn name="Efficiency" id="28"/>
  </tableColumns>
  <tableStyleInfo name="SS-style" showColumnStripes="0" showFirstColumn="1" showLastColumn="1" showRowStripes="1"/>
</table>
</file>

<file path=xl/tables/table9.xml><?xml version="1.0" encoding="utf-8"?>
<table xmlns="http://schemas.openxmlformats.org/spreadsheetml/2006/main" ref="A1:J57" displayName="Table_9" id="9">
  <tableColumns count="10">
    <tableColumn name="Type" id="1"/>
    <tableColumn name="Weapon" id="2"/>
    <tableColumn name="Image" id="3"/>
    <tableColumn name="Damage" id="4"/>
    <tableColumn name="Reload" id="5"/>
    <tableColumn name="DPS" id="6"/>
    <tableColumn name="DPS+" id="7"/>
    <tableColumn name="Range" id="8"/>
    <tableColumn name="Acquisition" id="9"/>
    <tableColumn name="Notes" id="10"/>
  </tableColumns>
  <tableStyleInfo name="AA Guns-style" showColumnStripes="0" showFirstColumn="1" showLastColumn="1" showRowStripes="1"/>
</tabl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1" Type="http://schemas.openxmlformats.org/officeDocument/2006/relationships/hyperlink" Target="https://azurlane.koumakan.jp/wiki/U-1206" TargetMode="External"/><Relationship Id="rId10" Type="http://schemas.openxmlformats.org/officeDocument/2006/relationships/hyperlink" Target="https://azurlane.koumakan.jp/Mami_Futami" TargetMode="External"/><Relationship Id="rId13" Type="http://schemas.openxmlformats.org/officeDocument/2006/relationships/vmlDrawing" Target="../drawings/vmlDrawing9.vml"/><Relationship Id="rId12" Type="http://schemas.openxmlformats.org/officeDocument/2006/relationships/drawing" Target="../drawings/drawing10.xml"/><Relationship Id="rId15" Type="http://schemas.openxmlformats.org/officeDocument/2006/relationships/table" Target="../tables/table8.xml"/><Relationship Id="rId1" Type="http://schemas.openxmlformats.org/officeDocument/2006/relationships/comments" Target="../comments9.xml"/><Relationship Id="rId2" Type="http://schemas.openxmlformats.org/officeDocument/2006/relationships/hyperlink" Target="https://azurlane.koumakan.jp/U-96" TargetMode="External"/><Relationship Id="rId3" Type="http://schemas.openxmlformats.org/officeDocument/2006/relationships/hyperlink" Target="https://azurlane.koumakan.jp/Albacore_%C2%B5" TargetMode="External"/><Relationship Id="rId4" Type="http://schemas.openxmlformats.org/officeDocument/2006/relationships/hyperlink" Target="https://azurlane.koumakan.jp/U-37" TargetMode="External"/><Relationship Id="rId9" Type="http://schemas.openxmlformats.org/officeDocument/2006/relationships/hyperlink" Target="https://azurlane.koumakan.jp/Ami_Futami" TargetMode="External"/><Relationship Id="rId5" Type="http://schemas.openxmlformats.org/officeDocument/2006/relationships/hyperlink" Target="https://azurlane.koumakan.jp/U-410" TargetMode="External"/><Relationship Id="rId6" Type="http://schemas.openxmlformats.org/officeDocument/2006/relationships/hyperlink" Target="https://azurlane.koumakan.jp/Torricelli" TargetMode="External"/><Relationship Id="rId7" Type="http://schemas.openxmlformats.org/officeDocument/2006/relationships/hyperlink" Target="https://azurlane.koumakan.jp/Archerfish" TargetMode="External"/><Relationship Id="rId8" Type="http://schemas.openxmlformats.org/officeDocument/2006/relationships/hyperlink" Target="https://azurlane.koumakan.jp/Nautilus" TargetMode="External"/></Relationships>
</file>

<file path=xl/worksheets/_rels/sheet11.xml.rels><?xml version="1.0" encoding="UTF-8" standalone="yes"?><Relationships xmlns="http://schemas.openxmlformats.org/package/2006/relationships"><Relationship Id="rId40" Type="http://schemas.openxmlformats.org/officeDocument/2006/relationships/hyperlink" Target="https://azurlane.koumakan.jp/Twin_406mm_(16%22/45_Mk_8)" TargetMode="External"/><Relationship Id="rId42" Type="http://schemas.openxmlformats.org/officeDocument/2006/relationships/hyperlink" Target="https://azurlane.koumakan.jp/Twin_380mm_(SK_C/34)" TargetMode="External"/><Relationship Id="rId41" Type="http://schemas.openxmlformats.org/officeDocument/2006/relationships/hyperlink" Target="https://azurlane.koumakan.jp/Twin_410mm_(3rd_Year_Type)_Kai" TargetMode="External"/><Relationship Id="rId44" Type="http://schemas.openxmlformats.org/officeDocument/2006/relationships/hyperlink" Target="https://azurlane.koumakan.jp/Triple_406mm_(16%22/50_Mark_D_Mod_0_Prototype)" TargetMode="External"/><Relationship Id="rId43" Type="http://schemas.openxmlformats.org/officeDocument/2006/relationships/hyperlink" Target="https://azurlane.koumakan.jp/Triple_305mm_(SK_C/39_Prototype)" TargetMode="External"/><Relationship Id="rId46" Type="http://schemas.openxmlformats.org/officeDocument/2006/relationships/hyperlink" Target="https://azurlane.koumakan.jp/Triple_406mm_(Mle_1938_Prototype)" TargetMode="External"/><Relationship Id="rId45" Type="http://schemas.openxmlformats.org/officeDocument/2006/relationships/hyperlink" Target="https://azurlane.koumakan.jp/wiki/Twin_406mm_(16%22/56_Mk_4_Prototype)" TargetMode="External"/><Relationship Id="rId48" Type="http://schemas.openxmlformats.org/officeDocument/2006/relationships/hyperlink" Target="https://azurlane.koumakan.jp/Triple_406mm_(16%22/50_Mk_7)" TargetMode="External"/><Relationship Id="rId47" Type="http://schemas.openxmlformats.org/officeDocument/2006/relationships/hyperlink" Target="https://azurlane.koumakan.jp/wiki/Triple_406mm_(Model_1940_Prototype)" TargetMode="External"/><Relationship Id="rId49" Type="http://schemas.openxmlformats.org/officeDocument/2006/relationships/hyperlink" Target="https://azurlane.koumakan.jp/533mm_Triple_Torpedo_Mount_Mk_IX" TargetMode="External"/><Relationship Id="rId31" Type="http://schemas.openxmlformats.org/officeDocument/2006/relationships/hyperlink" Target="https://azurlane.koumakan.jp/Triple_203mm_(8%22/55_Mk_15)_T0" TargetMode="External"/><Relationship Id="rId30" Type="http://schemas.openxmlformats.org/officeDocument/2006/relationships/hyperlink" Target="https://azurlane.koumakan.jp/Triple_203mm_(BL_Mk_IX_Prototype)" TargetMode="External"/><Relationship Id="rId33" Type="http://schemas.openxmlformats.org/officeDocument/2006/relationships/hyperlink" Target="https://azurlane.koumakan.jp/Triple_234mm_(BL_9.2%22_Mk_XII_Prototype)" TargetMode="External"/><Relationship Id="rId32" Type="http://schemas.openxmlformats.org/officeDocument/2006/relationships/hyperlink" Target="https://azurlane.koumakan.jp/Twin_234mm_(BL_9.2%22_Mk_XII_Prototype)" TargetMode="External"/><Relationship Id="rId35" Type="http://schemas.openxmlformats.org/officeDocument/2006/relationships/hyperlink" Target="https://azurlane.koumakan.jp/Twin_356mm_(41st_Year_Type)_Kai" TargetMode="External"/><Relationship Id="rId34" Type="http://schemas.openxmlformats.org/officeDocument/2006/relationships/hyperlink" Target="https://azurlane.koumakan.jp/wiki/Triple_305mm_(SK_C/39_Prototype)" TargetMode="External"/><Relationship Id="rId37" Type="http://schemas.openxmlformats.org/officeDocument/2006/relationships/hyperlink" Target="https://azurlane.koumakan.jp/Twin_356mm_(BL_14%22_Mk_VII)" TargetMode="External"/><Relationship Id="rId36" Type="http://schemas.openxmlformats.org/officeDocument/2006/relationships/hyperlink" Target="https://azurlane.koumakan.jp/Twin_406mm_(16%22/45_Mk_1)" TargetMode="External"/><Relationship Id="rId39" Type="http://schemas.openxmlformats.org/officeDocument/2006/relationships/hyperlink" Target="https://azurlane.koumakan.jp/Triple_406mm_(16%22/50_Mk_2)" TargetMode="External"/><Relationship Id="rId38" Type="http://schemas.openxmlformats.org/officeDocument/2006/relationships/hyperlink" Target="https://azurlane.koumakan.jp/Quadruple_356mm_(14%22/50_Mark_B_Prototype)" TargetMode="External"/><Relationship Id="rId20" Type="http://schemas.openxmlformats.org/officeDocument/2006/relationships/hyperlink" Target="https://azurlane.koumakan.jp/Twin_150mm_(SK_C/28)" TargetMode="External"/><Relationship Id="rId22" Type="http://schemas.openxmlformats.org/officeDocument/2006/relationships/hyperlink" Target="https://azurlane.koumakan.jp/Triple_152mm_(6%22/47_Mk_16)_Mod_1" TargetMode="External"/><Relationship Id="rId21" Type="http://schemas.openxmlformats.org/officeDocument/2006/relationships/hyperlink" Target="https://azurlane.koumakan.jp/Triple_152mm_(BL_6%22_Mk_XXIII)" TargetMode="External"/><Relationship Id="rId24" Type="http://schemas.openxmlformats.org/officeDocument/2006/relationships/hyperlink" Target="https://azurlane.koumakan.jp/wiki/Twin_150mm_(SK_C/28_Prototype)" TargetMode="External"/><Relationship Id="rId23" Type="http://schemas.openxmlformats.org/officeDocument/2006/relationships/hyperlink" Target="https://azurlane.koumakan.jp/Triple_152mm_(Model_1934)" TargetMode="External"/><Relationship Id="rId26" Type="http://schemas.openxmlformats.org/officeDocument/2006/relationships/hyperlink" Target="https://azurlane.koumakan.jp/Triple_203mm_(8%22/55_Mk_13)" TargetMode="External"/><Relationship Id="rId25" Type="http://schemas.openxmlformats.org/officeDocument/2006/relationships/hyperlink" Target="https://azurlane.koumakan.jp/wiki/Triple_155mm_(3rd_Year_Type)_Kai" TargetMode="External"/><Relationship Id="rId28" Type="http://schemas.openxmlformats.org/officeDocument/2006/relationships/hyperlink" Target="https://azurlane.koumakan.jp/Twin_203mm_(3rd_Year_Type_No._2)" TargetMode="External"/><Relationship Id="rId27" Type="http://schemas.openxmlformats.org/officeDocument/2006/relationships/hyperlink" Target="https://azurlane.koumakan.jp/Twin_203mm_(Mle_1924)" TargetMode="External"/><Relationship Id="rId29" Type="http://schemas.openxmlformats.org/officeDocument/2006/relationships/hyperlink" Target="https://azurlane.koumakan.jp/Twin_203mm_(Mle_1924)" TargetMode="External"/><Relationship Id="rId11" Type="http://schemas.openxmlformats.org/officeDocument/2006/relationships/hyperlink" Target="https://azurlane.koumakan.jp/Single_138.6mm_(Mle_1927)" TargetMode="External"/><Relationship Id="rId10" Type="http://schemas.openxmlformats.org/officeDocument/2006/relationships/hyperlink" Target="https://azurlane.koumakan.jp/Twin_127mm_(Type_3_Mod_B)" TargetMode="External"/><Relationship Id="rId13" Type="http://schemas.openxmlformats.org/officeDocument/2006/relationships/hyperlink" Target="https://azurlane.koumakan.jp/Twin_120mm_(QF_Mark_XI)" TargetMode="External"/><Relationship Id="rId12" Type="http://schemas.openxmlformats.org/officeDocument/2006/relationships/hyperlink" Target="https://azurlane.koumakan.jp/Twin_128mm/45_SK_C/41" TargetMode="External"/><Relationship Id="rId15" Type="http://schemas.openxmlformats.org/officeDocument/2006/relationships/hyperlink" Target="https://azurlane.koumakan.jp/Triple_180mm_(B-1-P_Pattern_1932)" TargetMode="External"/><Relationship Id="rId14" Type="http://schemas.openxmlformats.org/officeDocument/2006/relationships/hyperlink" Target="https://azurlane.koumakan.jp/Twin_114mm_(QF_Mk_IV_Prototype)" TargetMode="External"/><Relationship Id="rId17" Type="http://schemas.openxmlformats.org/officeDocument/2006/relationships/hyperlink" Target="https://azurlane.koumakan.jp/Twin_152mm_(BL_6%22_Mk_XII)" TargetMode="External"/><Relationship Id="rId16" Type="http://schemas.openxmlformats.org/officeDocument/2006/relationships/hyperlink" Target="https://azurlane.koumakan.jp/Twin_152mm_(6%22/53_Mk_15)" TargetMode="External"/><Relationship Id="rId19" Type="http://schemas.openxmlformats.org/officeDocument/2006/relationships/hyperlink" Target="https://azurlane.koumakan.jp/Single_150mm_(TbtsK_C/36)" TargetMode="External"/><Relationship Id="rId18" Type="http://schemas.openxmlformats.org/officeDocument/2006/relationships/hyperlink" Target="https://azurlane.koumakan.jp/Single_152mm_(41st_Year_Type)" TargetMode="External"/><Relationship Id="rId1" Type="http://schemas.openxmlformats.org/officeDocument/2006/relationships/comments" Target="../comments10.xml"/><Relationship Id="rId2" Type="http://schemas.openxmlformats.org/officeDocument/2006/relationships/hyperlink" Target="https://azurlane.koumakan.jp/Single_127mm_(Type_3_Mod_B)" TargetMode="External"/><Relationship Id="rId3" Type="http://schemas.openxmlformats.org/officeDocument/2006/relationships/hyperlink" Target="https://azurlane.koumakan.jp/Single_120mm_(11th_Year_Type)" TargetMode="External"/><Relationship Id="rId4" Type="http://schemas.openxmlformats.org/officeDocument/2006/relationships/hyperlink" Target="https://azurlane.koumakan.jp/Single_127mm_(5%22/38_Mk_21)" TargetMode="External"/><Relationship Id="rId9" Type="http://schemas.openxmlformats.org/officeDocument/2006/relationships/hyperlink" Target="https://azurlane.koumakan.jp/Twin_127mm_(5%22/38_Mk_32)" TargetMode="External"/><Relationship Id="rId5" Type="http://schemas.openxmlformats.org/officeDocument/2006/relationships/hyperlink" Target="https://azurlane.koumakan.jp/Twin_102mm_(QF_Mk_XVI*)" TargetMode="External"/><Relationship Id="rId6" Type="http://schemas.openxmlformats.org/officeDocument/2006/relationships/hyperlink" Target="https://azurlane.koumakan.jp/Single_100mm_(Type_88)" TargetMode="External"/><Relationship Id="rId7" Type="http://schemas.openxmlformats.org/officeDocument/2006/relationships/hyperlink" Target="https://azurlane.koumakan.jp/Single_120mm_(10th_Year_Type)" TargetMode="External"/><Relationship Id="rId8" Type="http://schemas.openxmlformats.org/officeDocument/2006/relationships/hyperlink" Target="https://azurlane.koumakan.jp/Twin_127mm_(KM40)" TargetMode="External"/><Relationship Id="rId62" Type="http://schemas.openxmlformats.org/officeDocument/2006/relationships/hyperlink" Target="https://azurlane.koumakan.jp/Submarine-mounted_Mark_20S_%22Bidder%22_Torpedo" TargetMode="External"/><Relationship Id="rId61" Type="http://schemas.openxmlformats.org/officeDocument/2006/relationships/hyperlink" Target="https://azurlane.koumakan.jp/Submarine-mounted_Mark_12_Torpedo" TargetMode="External"/><Relationship Id="rId64" Type="http://schemas.openxmlformats.org/officeDocument/2006/relationships/hyperlink" Target="https://azurlane.koumakan.jp/Submarine-mounted_Type_96_Oxygen_Torpedo" TargetMode="External"/><Relationship Id="rId63" Type="http://schemas.openxmlformats.org/officeDocument/2006/relationships/hyperlink" Target="https://azurlane.koumakan.jp/Submarine-mounted_Mark_28_Torpedo" TargetMode="External"/><Relationship Id="rId66" Type="http://schemas.openxmlformats.org/officeDocument/2006/relationships/vmlDrawing" Target="../drawings/vmlDrawing10.vml"/><Relationship Id="rId65" Type="http://schemas.openxmlformats.org/officeDocument/2006/relationships/drawing" Target="../drawings/drawing11.xml"/><Relationship Id="rId60" Type="http://schemas.openxmlformats.org/officeDocument/2006/relationships/hyperlink" Target="https://azurlane.koumakan.jp/Submarine-mounted_Mark_VIII_Torpedo" TargetMode="External"/><Relationship Id="rId51" Type="http://schemas.openxmlformats.org/officeDocument/2006/relationships/hyperlink" Target="https://azurlane.koumakan.jp/610mm_Triple_Torpedo_Mount_Kai" TargetMode="External"/><Relationship Id="rId50" Type="http://schemas.openxmlformats.org/officeDocument/2006/relationships/hyperlink" Target="https://azurlane.koumakan.jp/533mm_Triple_Torpedo_Mount_Mk_17" TargetMode="External"/><Relationship Id="rId53" Type="http://schemas.openxmlformats.org/officeDocument/2006/relationships/hyperlink" Target="https://azurlane.koumakan.jp/533mm_Quadruple_Torpedo_Mount_Mk_17" TargetMode="External"/><Relationship Id="rId52" Type="http://schemas.openxmlformats.org/officeDocument/2006/relationships/hyperlink" Target="https://azurlane.koumakan.jp/533mm_Quadruple_Torpedo_Mount_Mk_IX" TargetMode="External"/><Relationship Id="rId55" Type="http://schemas.openxmlformats.org/officeDocument/2006/relationships/hyperlink" Target="https://azurlane.koumakan.jp/533mm_Quintuple_Torpedo_Mount_Mk_17" TargetMode="External"/><Relationship Id="rId54" Type="http://schemas.openxmlformats.org/officeDocument/2006/relationships/hyperlink" Target="https://azurlane.koumakan.jp/610mm_Quadruple_Torpedo_Mount_Kai" TargetMode="External"/><Relationship Id="rId57" Type="http://schemas.openxmlformats.org/officeDocument/2006/relationships/hyperlink" Target="https://azurlane.koumakan.jp/wiki/610mm_Quintuple_Torpedo_Mount" TargetMode="External"/><Relationship Id="rId56" Type="http://schemas.openxmlformats.org/officeDocument/2006/relationships/hyperlink" Target="https://azurlane.koumakan.jp/533mm_Quintuple_Torpedo_Mount_Mk_IX" TargetMode="External"/><Relationship Id="rId59" Type="http://schemas.openxmlformats.org/officeDocument/2006/relationships/hyperlink" Target="https://azurlane.koumakan.jp/Submarine-mounted_Type_92_Battery-powered_Torpedo_Kai" TargetMode="External"/><Relationship Id="rId58" Type="http://schemas.openxmlformats.org/officeDocument/2006/relationships/hyperlink" Target="https://azurlane.koumakan.jp/Submarine-mounted_Mark_18_Torpedo" TargetMode="External"/></Relationships>
</file>

<file path=xl/worksheets/_rels/sheet12.xml.rels><?xml version="1.0" encoding="UTF-8" standalone="yes"?><Relationships xmlns="http://schemas.openxmlformats.org/package/2006/relationships"><Relationship Id="rId31" Type="http://schemas.openxmlformats.org/officeDocument/2006/relationships/hyperlink" Target="https://azurlane.koumakan.jp/Kawanishi_N1K1_Kyoufuu" TargetMode="External"/><Relationship Id="rId30" Type="http://schemas.openxmlformats.org/officeDocument/2006/relationships/hyperlink" Target="https://azurlane.koumakan.jp/Nakajima_A6M2-N" TargetMode="External"/><Relationship Id="rId33" Type="http://schemas.openxmlformats.org/officeDocument/2006/relationships/drawing" Target="../drawings/drawing12.xml"/><Relationship Id="rId32" Type="http://schemas.openxmlformats.org/officeDocument/2006/relationships/hyperlink" Target="https://azurlane.koumakan.jp/Yokosuka_Suisei_Model_21" TargetMode="External"/><Relationship Id="rId34" Type="http://schemas.openxmlformats.org/officeDocument/2006/relationships/vmlDrawing" Target="../drawings/vmlDrawing11.vml"/><Relationship Id="rId20" Type="http://schemas.openxmlformats.org/officeDocument/2006/relationships/hyperlink" Target="https://azurlane.koumakan.jp/Nakajima_B5N_Type_97" TargetMode="External"/><Relationship Id="rId22" Type="http://schemas.openxmlformats.org/officeDocument/2006/relationships/hyperlink" Target="https://azurlane.koumakan.jp/Nakajima_B5N2_Type_97" TargetMode="External"/><Relationship Id="rId21" Type="http://schemas.openxmlformats.org/officeDocument/2006/relationships/hyperlink" Target="https://azurlane.koumakan.jp/Arado_Ar_195" TargetMode="External"/><Relationship Id="rId24" Type="http://schemas.openxmlformats.org/officeDocument/2006/relationships/hyperlink" Target="https://azurlane.koumakan.jp/Nakajima_B6N2_Tenzan_Model_12A" TargetMode="External"/><Relationship Id="rId23" Type="http://schemas.openxmlformats.org/officeDocument/2006/relationships/hyperlink" Target="https://azurlane.koumakan.jp/Fieseler_Fi_167" TargetMode="External"/><Relationship Id="rId26" Type="http://schemas.openxmlformats.org/officeDocument/2006/relationships/hyperlink" Target="https://azurlane.koumakan.jp/Nakajima_C6N_Saiun_(Model_21_Prototype)" TargetMode="External"/><Relationship Id="rId25" Type="http://schemas.openxmlformats.org/officeDocument/2006/relationships/hyperlink" Target="https://azurlane.koumakan.jp/Junkers_Ju-87_D-4" TargetMode="External"/><Relationship Id="rId28" Type="http://schemas.openxmlformats.org/officeDocument/2006/relationships/hyperlink" Target="https://azurlane.koumakan.jp/Douglas_XTB2D-1_Skypirate" TargetMode="External"/><Relationship Id="rId27" Type="http://schemas.openxmlformats.org/officeDocument/2006/relationships/hyperlink" Target="https://azurlane.koumakan.jp/Blackburn_Firecrest" TargetMode="External"/><Relationship Id="rId29" Type="http://schemas.openxmlformats.org/officeDocument/2006/relationships/hyperlink" Target="https://azurlane.koumakan.jp/Westland_Wyvern" TargetMode="External"/><Relationship Id="rId11" Type="http://schemas.openxmlformats.org/officeDocument/2006/relationships/hyperlink" Target="https://azurlane.koumakan.jp/Kawanishi_N1K3-A_Shiden_Kai_2" TargetMode="External"/><Relationship Id="rId10" Type="http://schemas.openxmlformats.org/officeDocument/2006/relationships/hyperlink" Target="https://azurlane.koumakan.jp/Grumman_F8F_Bearcat" TargetMode="External"/><Relationship Id="rId13" Type="http://schemas.openxmlformats.org/officeDocument/2006/relationships/hyperlink" Target="https://azurlane.koumakan.jp/Grumman_F7F_Tigercat" TargetMode="External"/><Relationship Id="rId12" Type="http://schemas.openxmlformats.org/officeDocument/2006/relationships/hyperlink" Target="https://azurlane.koumakan.jp/Messerschmitt_Bf_109G_(Carrier-based_Prototype)" TargetMode="External"/><Relationship Id="rId15" Type="http://schemas.openxmlformats.org/officeDocument/2006/relationships/hyperlink" Target="https://azurlane.koumakan.jp/Heinkel_He_50b" TargetMode="External"/><Relationship Id="rId14" Type="http://schemas.openxmlformats.org/officeDocument/2006/relationships/hyperlink" Target="https://azurlane.koumakan.jp/De_Havilland_Sea_Hornet" TargetMode="External"/><Relationship Id="rId17" Type="http://schemas.openxmlformats.org/officeDocument/2006/relationships/hyperlink" Target="https://azurlane.koumakan.jp/Yokosuka_Suisei_Model_12A" TargetMode="External"/><Relationship Id="rId16" Type="http://schemas.openxmlformats.org/officeDocument/2006/relationships/hyperlink" Target="https://azurlane.koumakan.jp/Aichi_D3A2_Type_99" TargetMode="External"/><Relationship Id="rId19" Type="http://schemas.openxmlformats.org/officeDocument/2006/relationships/hyperlink" Target="https://azurlane.koumakan.jp/Nakajima_J5N_Tenrai_(Dive_Bomber_Prototype)" TargetMode="External"/><Relationship Id="rId18" Type="http://schemas.openxmlformats.org/officeDocument/2006/relationships/hyperlink" Target="https://azurlane.koumakan.jp/Curtiss_XSB3C_(Experimental)" TargetMode="External"/><Relationship Id="rId1" Type="http://schemas.openxmlformats.org/officeDocument/2006/relationships/comments" Target="../comments11.xml"/><Relationship Id="rId2" Type="http://schemas.openxmlformats.org/officeDocument/2006/relationships/hyperlink" Target="https://azurlane.koumakan.jp/Hawker_Sea_Hurricane" TargetMode="External"/><Relationship Id="rId3" Type="http://schemas.openxmlformats.org/officeDocument/2006/relationships/hyperlink" Target="https://azurlane.koumakan.jp/Arado_Ar_197" TargetMode="External"/><Relationship Id="rId4" Type="http://schemas.openxmlformats.org/officeDocument/2006/relationships/hyperlink" Target="https://azurlane.koumakan.jp/Focke-Wulf_Fw_190_A-5_(Carrier-based_Prototype)" TargetMode="External"/><Relationship Id="rId9" Type="http://schemas.openxmlformats.org/officeDocument/2006/relationships/hyperlink" Target="https://azurlane.koumakan.jp/Supermarine_Seafire_FR_Mk_47" TargetMode="External"/><Relationship Id="rId5" Type="http://schemas.openxmlformats.org/officeDocument/2006/relationships/hyperlink" Target="https://azurlane.koumakan.jp/Reggiane_Re.2001_Falco_II" TargetMode="External"/><Relationship Id="rId6" Type="http://schemas.openxmlformats.org/officeDocument/2006/relationships/hyperlink" Target="https://azurlane.koumakan.jp/Fiat_G.50_Freccia" TargetMode="External"/><Relationship Id="rId7" Type="http://schemas.openxmlformats.org/officeDocument/2006/relationships/hyperlink" Target="https://azurlane.koumakan.jp/Brewster_XF2A-4_Buffalo_(Prototype)" TargetMode="External"/><Relationship Id="rId8" Type="http://schemas.openxmlformats.org/officeDocument/2006/relationships/hyperlink" Target="https://azurlane.koumakan.jp/Mitsubishi_A6M3_Type_0_Model_32" TargetMode="External"/></Relationships>
</file>

<file path=xl/worksheets/_rels/sheet13.xml.rels><?xml version="1.0" encoding="UTF-8" standalone="yes"?><Relationships xmlns="http://schemas.openxmlformats.org/package/2006/relationships"><Relationship Id="rId11" Type="http://schemas.openxmlformats.org/officeDocument/2006/relationships/hyperlink" Target="https://azurlane.koumakan.jp/Twin_40mm_Bofors_High-Angle_Gun_Mk_I" TargetMode="External"/><Relationship Id="rId10" Type="http://schemas.openxmlformats.org/officeDocument/2006/relationships/hyperlink" Target="https://azurlane.koumakan.jp/Quadruple_20mm_AA_Oerlikon_Mk_15" TargetMode="External"/><Relationship Id="rId13" Type="http://schemas.openxmlformats.org/officeDocument/2006/relationships/hyperlink" Target="https://azurlane.koumakan.jp/Single_76mm_AA_(Mk_26_Mount)" TargetMode="External"/><Relationship Id="rId12" Type="http://schemas.openxmlformats.org/officeDocument/2006/relationships/hyperlink" Target="https://azurlane.koumakan.jp/Twin_37mm_Flak_(M43)" TargetMode="External"/><Relationship Id="rId15" Type="http://schemas.openxmlformats.org/officeDocument/2006/relationships/hyperlink" Target="https://azurlane.koumakan.jp/20mm_Oerlikon_High-Angle_Gun_Mk_II" TargetMode="External"/><Relationship Id="rId14" Type="http://schemas.openxmlformats.org/officeDocument/2006/relationships/hyperlink" Target="https://azurlane.koumakan.jp/Single_76mm_AA_(3rd_Year_Type)" TargetMode="External"/><Relationship Id="rId17" Type="http://schemas.openxmlformats.org/officeDocument/2006/relationships/vmlDrawing" Target="../drawings/vmlDrawing12.vml"/><Relationship Id="rId16" Type="http://schemas.openxmlformats.org/officeDocument/2006/relationships/drawing" Target="../drawings/drawing13.xml"/><Relationship Id="rId19" Type="http://schemas.openxmlformats.org/officeDocument/2006/relationships/table" Target="../tables/table9.xml"/><Relationship Id="rId1" Type="http://schemas.openxmlformats.org/officeDocument/2006/relationships/comments" Target="../comments12.xml"/><Relationship Id="rId2" Type="http://schemas.openxmlformats.org/officeDocument/2006/relationships/hyperlink" Target="https://azurlane.koumakan.jp/Sextuple_40mm_Bofors" TargetMode="External"/><Relationship Id="rId3" Type="http://schemas.openxmlformats.org/officeDocument/2006/relationships/hyperlink" Target="https://azurlane.koumakan.jp/Twin_76mm_AA_Gun_(3%22/50_Mk_27)" TargetMode="External"/><Relationship Id="rId4" Type="http://schemas.openxmlformats.org/officeDocument/2006/relationships/hyperlink" Target="https://azurlane.koumakan.jp/Twin_105mm_SK_C/33_na" TargetMode="External"/><Relationship Id="rId9" Type="http://schemas.openxmlformats.org/officeDocument/2006/relationships/hyperlink" Target="https://azurlane.koumakan.jp/Single_80mm_AA_(Type_98)" TargetMode="External"/><Relationship Id="rId5" Type="http://schemas.openxmlformats.org/officeDocument/2006/relationships/hyperlink" Target="https://azurlane.koumakan.jp/Triple_25mm_AA_(Type_96_Blast_Shield)" TargetMode="External"/><Relationship Id="rId6" Type="http://schemas.openxmlformats.org/officeDocument/2006/relationships/hyperlink" Target="https://azurlane.koumakan.jp/127mm_Type_89_High-Angle" TargetMode="External"/><Relationship Id="rId7" Type="http://schemas.openxmlformats.org/officeDocument/2006/relationships/hyperlink" Target="https://azurlane.koumakan.jp/120mm_High-Angle_Gun_Mk_VIII" TargetMode="External"/><Relationship Id="rId8" Type="http://schemas.openxmlformats.org/officeDocument/2006/relationships/hyperlink" Target="https://azurlane.koumakan.jp/Twin_88mm_AA_(SK_C/32)" TargetMode="External"/></Relationships>
</file>

<file path=xl/worksheets/_rels/sheet14.xml.rels><?xml version="1.0" encoding="UTF-8" standalone="yes"?><Relationships xmlns="http://schemas.openxmlformats.org/package/2006/relationships"><Relationship Id="rId20" Type="http://schemas.openxmlformats.org/officeDocument/2006/relationships/hyperlink" Target="https://azurlane.koumakan.jp/Funkmess-Ortung_25_Radar" TargetMode="External"/><Relationship Id="rId22" Type="http://schemas.openxmlformats.org/officeDocument/2006/relationships/vmlDrawing" Target="../drawings/vmlDrawing13.vml"/><Relationship Id="rId21" Type="http://schemas.openxmlformats.org/officeDocument/2006/relationships/drawing" Target="../drawings/drawing14.xml"/><Relationship Id="rId24" Type="http://schemas.openxmlformats.org/officeDocument/2006/relationships/table" Target="../tables/table10.xml"/><Relationship Id="rId11" Type="http://schemas.openxmlformats.org/officeDocument/2006/relationships/hyperlink" Target="https://azurlane.koumakan.jp/Cosmic_Kicks" TargetMode="External"/><Relationship Id="rId10" Type="http://schemas.openxmlformats.org/officeDocument/2006/relationships/hyperlink" Target="https://azurlane.koumakan.jp/Celestial_Body" TargetMode="External"/><Relationship Id="rId13" Type="http://schemas.openxmlformats.org/officeDocument/2006/relationships/hyperlink" Target="https://azurlane.koumakan.jp/Frontier_Medal" TargetMode="External"/><Relationship Id="rId12" Type="http://schemas.openxmlformats.org/officeDocument/2006/relationships/hyperlink" Target="https://azurlane.koumakan.jp/Eagle_Union_Elite_Damage_Control" TargetMode="External"/><Relationship Id="rId15" Type="http://schemas.openxmlformats.org/officeDocument/2006/relationships/hyperlink" Target="https://azurlane.koumakan.jp/Nelson%27s_Pennant_of_Victory" TargetMode="External"/><Relationship Id="rId14" Type="http://schemas.openxmlformats.org/officeDocument/2006/relationships/hyperlink" Target="https://azurlane.koumakan.jp/Heart_Key" TargetMode="External"/><Relationship Id="rId17" Type="http://schemas.openxmlformats.org/officeDocument/2006/relationships/hyperlink" Target="https://azurlane.koumakan.jp/Sacred_Lumi%C3%A8re" TargetMode="External"/><Relationship Id="rId16" Type="http://schemas.openxmlformats.org/officeDocument/2006/relationships/hyperlink" Target="https://azurlane.koumakan.jp/Resplendent_Astrum" TargetMode="External"/><Relationship Id="rId19" Type="http://schemas.openxmlformats.org/officeDocument/2006/relationships/hyperlink" Target="https://azurlane.koumakan.jp/Washington_Naval_Treaty" TargetMode="External"/><Relationship Id="rId18" Type="http://schemas.openxmlformats.org/officeDocument/2006/relationships/hyperlink" Target="https://azurlane.koumakan.jp/White-Hot_Verheerender" TargetMode="External"/><Relationship Id="rId1" Type="http://schemas.openxmlformats.org/officeDocument/2006/relationships/comments" Target="../comments13.xml"/><Relationship Id="rId2" Type="http://schemas.openxmlformats.org/officeDocument/2006/relationships/hyperlink" Target="https://azurlane.koumakan.jp/Pressure-Resistant_Hull_Design" TargetMode="External"/><Relationship Id="rId3" Type="http://schemas.openxmlformats.org/officeDocument/2006/relationships/hyperlink" Target="https://azurlane.koumakan.jp/533mm_Magnetic_Torpedo" TargetMode="External"/><Relationship Id="rId4" Type="http://schemas.openxmlformats.org/officeDocument/2006/relationships/hyperlink" Target="https://azurlane.koumakan.jp/Intel_Report_-_Arctic_Stronghold" TargetMode="External"/><Relationship Id="rId9" Type="http://schemas.openxmlformats.org/officeDocument/2006/relationships/hyperlink" Target="https://azurlane.koumakan.jp/Awakening_Pearl" TargetMode="External"/><Relationship Id="rId5" Type="http://schemas.openxmlformats.org/officeDocument/2006/relationships/hyperlink" Target="https://azurlane.koumakan.jp/40cm_Type_94_Naval_Gun_Parts_(Cargo)" TargetMode="External"/><Relationship Id="rId6" Type="http://schemas.openxmlformats.org/officeDocument/2006/relationships/hyperlink" Target="https://azurlane.koumakan.jp/Aviation_Materials_(Cargo)" TargetMode="External"/><Relationship Id="rId7" Type="http://schemas.openxmlformats.org/officeDocument/2006/relationships/hyperlink" Target="https://azurlane.koumakan.jp/Small-Caliber_Naval_Gun_Parts_(Cargo)" TargetMode="External"/><Relationship Id="rId8" Type="http://schemas.openxmlformats.org/officeDocument/2006/relationships/hyperlink" Target="https://azurlane.koumakan.jp/Torpedo_Materials_(Cargo)" TargetMode="External"/></Relationships>
</file>

<file path=xl/worksheets/_rels/sheet15.xml.rels><?xml version="1.0" encoding="UTF-8" standalone="yes"?><Relationships xmlns="http://schemas.openxmlformats.org/package/2006/relationships"><Relationship Id="rId1" Type="http://schemas.openxmlformats.org/officeDocument/2006/relationships/hyperlink" Target="https://azurlane.koumakan.jp/Hedgehog" TargetMode="External"/><Relationship Id="rId2" Type="http://schemas.openxmlformats.org/officeDocument/2006/relationships/drawing" Target="../drawings/drawing15.xml"/><Relationship Id="rId4" Type="http://schemas.openxmlformats.org/officeDocument/2006/relationships/table" Target="../tables/table11.xml"/></Relationships>
</file>

<file path=xl/worksheets/_rels/sheet16.xml.rels><?xml version="1.0" encoding="UTF-8" standalone="yes"?><Relationships xmlns="http://schemas.openxmlformats.org/package/2006/relationships"><Relationship Id="rId1" Type="http://schemas.openxmlformats.org/officeDocument/2006/relationships/comments" Target="../comments14.xml"/><Relationship Id="rId2" Type="http://schemas.openxmlformats.org/officeDocument/2006/relationships/drawing" Target="../drawings/drawing16.xml"/><Relationship Id="rId3" Type="http://schemas.openxmlformats.org/officeDocument/2006/relationships/vmlDrawing" Target="../drawings/vmlDrawing14.vml"/><Relationship Id="rId5" Type="http://schemas.openxmlformats.org/officeDocument/2006/relationships/table" Target="../tables/table12.xml"/></Relationships>
</file>

<file path=xl/worksheets/_rels/sheet2.xml.rels><?xml version="1.0" encoding="UTF-8" standalone="yes"?><Relationships xmlns="http://schemas.openxmlformats.org/package/2006/relationships"><Relationship Id="rId40" Type="http://schemas.openxmlformats.org/officeDocument/2006/relationships/hyperlink" Target="https://azurlane.koumakan.jp/Hermione" TargetMode="External"/><Relationship Id="rId42" Type="http://schemas.openxmlformats.org/officeDocument/2006/relationships/hyperlink" Target="https://azurlane.koumakan.jp/Icarus" TargetMode="External"/><Relationship Id="rId41" Type="http://schemas.openxmlformats.org/officeDocument/2006/relationships/hyperlink" Target="https://azurlane.koumakan.jp/Valiant" TargetMode="External"/><Relationship Id="rId44" Type="http://schemas.openxmlformats.org/officeDocument/2006/relationships/hyperlink" Target="https://azurlane.koumakan.jp/U-96" TargetMode="External"/><Relationship Id="rId43" Type="http://schemas.openxmlformats.org/officeDocument/2006/relationships/hyperlink" Target="https://azurlane.koumakan.jp/Z26" TargetMode="External"/><Relationship Id="rId46" Type="http://schemas.openxmlformats.org/officeDocument/2006/relationships/hyperlink" Target="https://azurlane.koumakan.jp/Kumano" TargetMode="External"/><Relationship Id="rId45" Type="http://schemas.openxmlformats.org/officeDocument/2006/relationships/hyperlink" Target="https://azurlane.koumakan.jp/Suzutsuki" TargetMode="External"/><Relationship Id="rId107" Type="http://schemas.openxmlformats.org/officeDocument/2006/relationships/hyperlink" Target="https://azurlane.koumakan.jp/Nagisa" TargetMode="External"/><Relationship Id="rId106" Type="http://schemas.openxmlformats.org/officeDocument/2006/relationships/hyperlink" Target="https://azurlane.koumakan.jp/Misaki" TargetMode="External"/><Relationship Id="rId105" Type="http://schemas.openxmlformats.org/officeDocument/2006/relationships/hyperlink" Target="https://azurlane.koumakan.jp/Kasumi_(DOA)" TargetMode="External"/><Relationship Id="rId104" Type="http://schemas.openxmlformats.org/officeDocument/2006/relationships/hyperlink" Target="https://azurlane.koumakan.jp/Honoka" TargetMode="External"/><Relationship Id="rId109" Type="http://schemas.openxmlformats.org/officeDocument/2006/relationships/hyperlink" Target="https://azurlane.koumakan.jp/Monica" TargetMode="External"/><Relationship Id="rId108" Type="http://schemas.openxmlformats.org/officeDocument/2006/relationships/hyperlink" Target="https://azurlane.koumakan.jp/Nyotengu" TargetMode="External"/><Relationship Id="rId48" Type="http://schemas.openxmlformats.org/officeDocument/2006/relationships/hyperlink" Target="https://azurlane.koumakan.jp/Chiyoda" TargetMode="External"/><Relationship Id="rId47" Type="http://schemas.openxmlformats.org/officeDocument/2006/relationships/hyperlink" Target="https://azurlane.koumakan.jp/Chitose" TargetMode="External"/><Relationship Id="rId49" Type="http://schemas.openxmlformats.org/officeDocument/2006/relationships/hyperlink" Target="https://azurlane.koumakan.jp/Kashino" TargetMode="External"/><Relationship Id="rId103" Type="http://schemas.openxmlformats.org/officeDocument/2006/relationships/hyperlink" Target="https://azurlane.koumakan.jp/Marie_Rose" TargetMode="External"/><Relationship Id="rId102" Type="http://schemas.openxmlformats.org/officeDocument/2006/relationships/hyperlink" Target="https://azurlane.koumakan.jp/Fusou_META" TargetMode="External"/><Relationship Id="rId101" Type="http://schemas.openxmlformats.org/officeDocument/2006/relationships/hyperlink" Target="https://azurlane.koumakan.jp/Souryuu_META" TargetMode="External"/><Relationship Id="rId100" Type="http://schemas.openxmlformats.org/officeDocument/2006/relationships/hyperlink" Target="https://azurlane.koumakan.jp/Helena_META" TargetMode="External"/><Relationship Id="rId31" Type="http://schemas.openxmlformats.org/officeDocument/2006/relationships/hyperlink" Target="https://azurlane.koumakan.jp/Jeanne_d%27Arc" TargetMode="External"/><Relationship Id="rId30" Type="http://schemas.openxmlformats.org/officeDocument/2006/relationships/hyperlink" Target="https://azurlane.koumakan.jp/Richelieu" TargetMode="External"/><Relationship Id="rId33" Type="http://schemas.openxmlformats.org/officeDocument/2006/relationships/hyperlink" Target="https://azurlane.koumakan.jp/La_Galissonni%C3%A8re" TargetMode="External"/><Relationship Id="rId32" Type="http://schemas.openxmlformats.org/officeDocument/2006/relationships/hyperlink" Target="https://azurlane.koumakan.jp/Alg%C3%A9rie" TargetMode="External"/><Relationship Id="rId35" Type="http://schemas.openxmlformats.org/officeDocument/2006/relationships/hyperlink" Target="https://azurlane.koumakan.jp/B%C3%A9arn" TargetMode="External"/><Relationship Id="rId34" Type="http://schemas.openxmlformats.org/officeDocument/2006/relationships/hyperlink" Target="https://azurlane.koumakan.jp/Vauquelin" TargetMode="External"/><Relationship Id="rId37" Type="http://schemas.openxmlformats.org/officeDocument/2006/relationships/hyperlink" Target="https://azurlane.koumakan.jp/Eskimo" TargetMode="External"/><Relationship Id="rId36" Type="http://schemas.openxmlformats.org/officeDocument/2006/relationships/hyperlink" Target="https://azurlane.koumakan.jp/Little_Illustrious" TargetMode="External"/><Relationship Id="rId39" Type="http://schemas.openxmlformats.org/officeDocument/2006/relationships/hyperlink" Target="https://azurlane.koumakan.jp/Perseus" TargetMode="External"/><Relationship Id="rId38" Type="http://schemas.openxmlformats.org/officeDocument/2006/relationships/hyperlink" Target="https://azurlane.koumakan.jp/Howe" TargetMode="External"/><Relationship Id="rId20" Type="http://schemas.openxmlformats.org/officeDocument/2006/relationships/hyperlink" Target="https://azurlane.koumakan.jp/Akagi_%C2%B5" TargetMode="External"/><Relationship Id="rId22" Type="http://schemas.openxmlformats.org/officeDocument/2006/relationships/hyperlink" Target="https://azurlane.koumakan.jp/Sheffield_%C2%B5" TargetMode="External"/><Relationship Id="rId21" Type="http://schemas.openxmlformats.org/officeDocument/2006/relationships/hyperlink" Target="https://azurlane.koumakan.jp/Cleveland_%C2%B5" TargetMode="External"/><Relationship Id="rId24" Type="http://schemas.openxmlformats.org/officeDocument/2006/relationships/hyperlink" Target="https://azurlane.koumakan.jp/Kasumi" TargetMode="External"/><Relationship Id="rId23" Type="http://schemas.openxmlformats.org/officeDocument/2006/relationships/hyperlink" Target="https://azurlane.koumakan.jp/Admiral_Hipper_%C2%B5" TargetMode="External"/><Relationship Id="rId129" Type="http://schemas.openxmlformats.org/officeDocument/2006/relationships/hyperlink" Target="https://azurlane.koumakan.jp/wiki/Rikka_Takarada" TargetMode="External"/><Relationship Id="rId128" Type="http://schemas.openxmlformats.org/officeDocument/2006/relationships/hyperlink" Target="https://azurlane.koumakan.jp/wiki/Maill%C3%A9_Br%C3%A9z%C3%A9" TargetMode="External"/><Relationship Id="rId127" Type="http://schemas.openxmlformats.org/officeDocument/2006/relationships/hyperlink" Target="https://azurlane.koumakan.jp/wiki/Le_Terrible" TargetMode="External"/><Relationship Id="rId126" Type="http://schemas.openxmlformats.org/officeDocument/2006/relationships/hyperlink" Target="https://azurlane.koumakan.jp/Marco_Polo" TargetMode="External"/><Relationship Id="rId26" Type="http://schemas.openxmlformats.org/officeDocument/2006/relationships/hyperlink" Target="https://azurlane.koumakan.jp/Minsk" TargetMode="External"/><Relationship Id="rId121" Type="http://schemas.openxmlformats.org/officeDocument/2006/relationships/hyperlink" Target="https://azurlane.koumakan.jp/Champagne" TargetMode="External"/><Relationship Id="rId25" Type="http://schemas.openxmlformats.org/officeDocument/2006/relationships/hyperlink" Target="https://azurlane.koumakan.jp/Grozny" TargetMode="External"/><Relationship Id="rId120" Type="http://schemas.openxmlformats.org/officeDocument/2006/relationships/hyperlink" Target="https://azurlane.koumakan.jp/Odin" TargetMode="External"/><Relationship Id="rId28" Type="http://schemas.openxmlformats.org/officeDocument/2006/relationships/hyperlink" Target="https://azurlane.koumakan.jp/Kirov" TargetMode="External"/><Relationship Id="rId27" Type="http://schemas.openxmlformats.org/officeDocument/2006/relationships/hyperlink" Target="https://azurlane.koumakan.jp/Pamiat_Merkuria" TargetMode="External"/><Relationship Id="rId125" Type="http://schemas.openxmlformats.org/officeDocument/2006/relationships/hyperlink" Target="https://azurlane.koumakan.jp/August_von_Parseval" TargetMode="External"/><Relationship Id="rId29" Type="http://schemas.openxmlformats.org/officeDocument/2006/relationships/hyperlink" Target="https://azurlane.koumakan.jp/Sovetskaya_Belorussiya" TargetMode="External"/><Relationship Id="rId124" Type="http://schemas.openxmlformats.org/officeDocument/2006/relationships/hyperlink" Target="https://azurlane.koumakan.jp/%C3%84gir" TargetMode="External"/><Relationship Id="rId123" Type="http://schemas.openxmlformats.org/officeDocument/2006/relationships/hyperlink" Target="https://azurlane.koumakan.jp/Hakuryuu" TargetMode="External"/><Relationship Id="rId122" Type="http://schemas.openxmlformats.org/officeDocument/2006/relationships/hyperlink" Target="https://azurlane.koumakan.jp/Anchorage" TargetMode="External"/><Relationship Id="rId95" Type="http://schemas.openxmlformats.org/officeDocument/2006/relationships/hyperlink" Target="https://azurlane.koumakan.jp/Ingraham" TargetMode="External"/><Relationship Id="rId94" Type="http://schemas.openxmlformats.org/officeDocument/2006/relationships/hyperlink" Target="https://azurlane.koumakan.jp/Kazagumo" TargetMode="External"/><Relationship Id="rId97" Type="http://schemas.openxmlformats.org/officeDocument/2006/relationships/hyperlink" Target="https://azurlane.koumakan.jp/Katsuragi" TargetMode="External"/><Relationship Id="rId96" Type="http://schemas.openxmlformats.org/officeDocument/2006/relationships/hyperlink" Target="https://azurlane.koumakan.jp/Nautilus" TargetMode="External"/><Relationship Id="rId11" Type="http://schemas.openxmlformats.org/officeDocument/2006/relationships/hyperlink" Target="https://azurlane.koumakan.jp/Yura" TargetMode="External"/><Relationship Id="rId99" Type="http://schemas.openxmlformats.org/officeDocument/2006/relationships/hyperlink" Target="https://azurlane.koumakan.jp/Ark_Royal_META" TargetMode="External"/><Relationship Id="rId10" Type="http://schemas.openxmlformats.org/officeDocument/2006/relationships/hyperlink" Target="https://azurlane.koumakan.jp/Ariake" TargetMode="External"/><Relationship Id="rId98" Type="http://schemas.openxmlformats.org/officeDocument/2006/relationships/hyperlink" Target="https://azurlane.koumakan.jp/Hiryuu_META" TargetMode="External"/><Relationship Id="rId13" Type="http://schemas.openxmlformats.org/officeDocument/2006/relationships/hyperlink" Target="https://azurlane.koumakan.jp/Kii" TargetMode="External"/><Relationship Id="rId12" Type="http://schemas.openxmlformats.org/officeDocument/2006/relationships/hyperlink" Target="https://azurlane.koumakan.jp/Chikuma" TargetMode="External"/><Relationship Id="rId91" Type="http://schemas.openxmlformats.org/officeDocument/2006/relationships/hyperlink" Target="https://azurlane.koumakan.jp/Boise" TargetMode="External"/><Relationship Id="rId90" Type="http://schemas.openxmlformats.org/officeDocument/2006/relationships/hyperlink" Target="https://azurlane.koumakan.jp/Archerfish" TargetMode="External"/><Relationship Id="rId93" Type="http://schemas.openxmlformats.org/officeDocument/2006/relationships/hyperlink" Target="https://azurlane.koumakan.jp/Little_Enterprise" TargetMode="External"/><Relationship Id="rId92" Type="http://schemas.openxmlformats.org/officeDocument/2006/relationships/hyperlink" Target="https://azurlane.koumakan.jp/Morrison" TargetMode="External"/><Relationship Id="rId118" Type="http://schemas.openxmlformats.org/officeDocument/2006/relationships/hyperlink" Target="https://azurlane.koumakan.jp/Drake" TargetMode="External"/><Relationship Id="rId117" Type="http://schemas.openxmlformats.org/officeDocument/2006/relationships/hyperlink" Target="https://azurlane.koumakan.jp/Cheshire" TargetMode="External"/><Relationship Id="rId116" Type="http://schemas.openxmlformats.org/officeDocument/2006/relationships/hyperlink" Target="https://azurlane.koumakan.jp/Mami_Futami" TargetMode="External"/><Relationship Id="rId115" Type="http://schemas.openxmlformats.org/officeDocument/2006/relationships/hyperlink" Target="https://azurlane.koumakan.jp/Ami_Futami" TargetMode="External"/><Relationship Id="rId119" Type="http://schemas.openxmlformats.org/officeDocument/2006/relationships/hyperlink" Target="https://azurlane.koumakan.jp/Mainz" TargetMode="External"/><Relationship Id="rId15" Type="http://schemas.openxmlformats.org/officeDocument/2006/relationships/hyperlink" Target="https://azurlane.koumakan.jp/Shimakaze" TargetMode="External"/><Relationship Id="rId110" Type="http://schemas.openxmlformats.org/officeDocument/2006/relationships/hyperlink" Target="https://azurlane.koumakan.jp/Haruka_Amami" TargetMode="External"/><Relationship Id="rId14" Type="http://schemas.openxmlformats.org/officeDocument/2006/relationships/hyperlink" Target="https://azurlane.koumakan.jp/Shinano" TargetMode="External"/><Relationship Id="rId17" Type="http://schemas.openxmlformats.org/officeDocument/2006/relationships/hyperlink" Target="https://azurlane.koumakan.jp/Yamakaze" TargetMode="External"/><Relationship Id="rId16" Type="http://schemas.openxmlformats.org/officeDocument/2006/relationships/hyperlink" Target="https://azurlane.koumakan.jp/Umikaze" TargetMode="External"/><Relationship Id="rId19" Type="http://schemas.openxmlformats.org/officeDocument/2006/relationships/hyperlink" Target="https://azurlane.koumakan.jp/Gascogne_%C2%B5" TargetMode="External"/><Relationship Id="rId114" Type="http://schemas.openxmlformats.org/officeDocument/2006/relationships/hyperlink" Target="https://azurlane.koumakan.jp/Ritsuko_Akizuki" TargetMode="External"/><Relationship Id="rId18" Type="http://schemas.openxmlformats.org/officeDocument/2006/relationships/hyperlink" Target="https://azurlane.koumakan.jp/Independence" TargetMode="External"/><Relationship Id="rId113" Type="http://schemas.openxmlformats.org/officeDocument/2006/relationships/hyperlink" Target="https://azurlane.koumakan.jp/Azusa_Miura" TargetMode="External"/><Relationship Id="rId112" Type="http://schemas.openxmlformats.org/officeDocument/2006/relationships/hyperlink" Target="https://azurlane.koumakan.jp/Iori_Minase" TargetMode="External"/><Relationship Id="rId111" Type="http://schemas.openxmlformats.org/officeDocument/2006/relationships/hyperlink" Target="https://azurlane.koumakan.jp/Chihaya_Kisaragi" TargetMode="External"/><Relationship Id="rId84" Type="http://schemas.openxmlformats.org/officeDocument/2006/relationships/hyperlink" Target="https://azurlane.koumakan.jp/Oite" TargetMode="External"/><Relationship Id="rId83" Type="http://schemas.openxmlformats.org/officeDocument/2006/relationships/hyperlink" Target="https://azurlane.koumakan.jp/Nicoloso_da_Recco" TargetMode="External"/><Relationship Id="rId86" Type="http://schemas.openxmlformats.org/officeDocument/2006/relationships/hyperlink" Target="https://azurlane.koumakan.jp/Stephen_Potter" TargetMode="External"/><Relationship Id="rId85" Type="http://schemas.openxmlformats.org/officeDocument/2006/relationships/hyperlink" Target="https://azurlane.koumakan.jp/Allen_M._Sumner" TargetMode="External"/><Relationship Id="rId88" Type="http://schemas.openxmlformats.org/officeDocument/2006/relationships/hyperlink" Target="https://azurlane.koumakan.jp/Ticonderoga" TargetMode="External"/><Relationship Id="rId87" Type="http://schemas.openxmlformats.org/officeDocument/2006/relationships/hyperlink" Target="https://azurlane.koumakan.jp/Amagi-chan" TargetMode="External"/><Relationship Id="rId89" Type="http://schemas.openxmlformats.org/officeDocument/2006/relationships/hyperlink" Target="https://azurlane.koumakan.jp/San_Francisco" TargetMode="External"/><Relationship Id="rId80" Type="http://schemas.openxmlformats.org/officeDocument/2006/relationships/hyperlink" Target="https://azurlane.koumakan.jp/Torricelli" TargetMode="External"/><Relationship Id="rId82" Type="http://schemas.openxmlformats.org/officeDocument/2006/relationships/hyperlink" Target="https://azurlane.koumakan.jp/Libeccio" TargetMode="External"/><Relationship Id="rId81" Type="http://schemas.openxmlformats.org/officeDocument/2006/relationships/hyperlink" Target="https://azurlane.koumakan.jp/Maestrale" TargetMode="External"/><Relationship Id="rId1" Type="http://schemas.openxmlformats.org/officeDocument/2006/relationships/comments" Target="../comments1.xml"/><Relationship Id="rId2" Type="http://schemas.openxmlformats.org/officeDocument/2006/relationships/hyperlink" Target="https://azurlane.koumakan.jp/Specialized_Bulin_Custom_MKIII" TargetMode="External"/><Relationship Id="rId3" Type="http://schemas.openxmlformats.org/officeDocument/2006/relationships/hyperlink" Target="https://azurlane.koumakan.jp/Helena" TargetMode="External"/><Relationship Id="rId4" Type="http://schemas.openxmlformats.org/officeDocument/2006/relationships/hyperlink" Target="https://azurlane.koumakan.jp/New_Jersey" TargetMode="External"/><Relationship Id="rId9" Type="http://schemas.openxmlformats.org/officeDocument/2006/relationships/hyperlink" Target="https://azurlane.koumakan.jp/Hatsushimo" TargetMode="External"/><Relationship Id="rId143" Type="http://schemas.openxmlformats.org/officeDocument/2006/relationships/hyperlink" Target="https://azurlane.koumakan.jp/wiki/Elbe" TargetMode="External"/><Relationship Id="rId142" Type="http://schemas.openxmlformats.org/officeDocument/2006/relationships/hyperlink" Target="https://azurlane.koumakan.jp/wiki/Hiyou_META" TargetMode="External"/><Relationship Id="rId141" Type="http://schemas.openxmlformats.org/officeDocument/2006/relationships/hyperlink" Target="https://azurlane.koumakan.jp/wiki/Magdeburg" TargetMode="External"/><Relationship Id="rId140" Type="http://schemas.openxmlformats.org/officeDocument/2006/relationships/hyperlink" Target="https://azurlane.koumakan.jp/wiki/Prinz_Adalbert" TargetMode="External"/><Relationship Id="rId5" Type="http://schemas.openxmlformats.org/officeDocument/2006/relationships/hyperlink" Target="https://azurlane.koumakan.jp/Eagle" TargetMode="External"/><Relationship Id="rId6" Type="http://schemas.openxmlformats.org/officeDocument/2006/relationships/hyperlink" Target="https://azurlane.koumakan.jp/Ark_Royal" TargetMode="External"/><Relationship Id="rId146" Type="http://schemas.openxmlformats.org/officeDocument/2006/relationships/vmlDrawing" Target="../drawings/vmlDrawing1.vml"/><Relationship Id="rId7" Type="http://schemas.openxmlformats.org/officeDocument/2006/relationships/hyperlink" Target="https://azurlane.koumakan.jp/Shirayuki" TargetMode="External"/><Relationship Id="rId145" Type="http://schemas.openxmlformats.org/officeDocument/2006/relationships/drawing" Target="../drawings/drawing2.xml"/><Relationship Id="rId8" Type="http://schemas.openxmlformats.org/officeDocument/2006/relationships/hyperlink" Target="https://azurlane.koumakan.jp/Yuudachi" TargetMode="External"/><Relationship Id="rId144" Type="http://schemas.openxmlformats.org/officeDocument/2006/relationships/hyperlink" Target="https://azurlane.koumakan.jp/wiki/U-1206" TargetMode="External"/><Relationship Id="rId73" Type="http://schemas.openxmlformats.org/officeDocument/2006/relationships/hyperlink" Target="https://azurlane.koumakan.jp/Tallinn" TargetMode="External"/><Relationship Id="rId72" Type="http://schemas.openxmlformats.org/officeDocument/2006/relationships/hyperlink" Target="https://azurlane.koumakan.jp/Penelope" TargetMode="External"/><Relationship Id="rId75" Type="http://schemas.openxmlformats.org/officeDocument/2006/relationships/hyperlink" Target="https://azurlane.koumakan.jp/Murmansk" TargetMode="External"/><Relationship Id="rId74" Type="http://schemas.openxmlformats.org/officeDocument/2006/relationships/hyperlink" Target="https://azurlane.koumakan.jp/Gremyashchy" TargetMode="External"/><Relationship Id="rId77" Type="http://schemas.openxmlformats.org/officeDocument/2006/relationships/hyperlink" Target="https://azurlane.koumakan.jp/Vittorio_Veneto" TargetMode="External"/><Relationship Id="rId76" Type="http://schemas.openxmlformats.org/officeDocument/2006/relationships/hyperlink" Target="https://azurlane.koumakan.jp/Gromky" TargetMode="External"/><Relationship Id="rId79" Type="http://schemas.openxmlformats.org/officeDocument/2006/relationships/hyperlink" Target="https://azurlane.koumakan.jp/Aquila" TargetMode="External"/><Relationship Id="rId78" Type="http://schemas.openxmlformats.org/officeDocument/2006/relationships/hyperlink" Target="https://azurlane.koumakan.jp/Duca_degli_Abruzzi" TargetMode="External"/><Relationship Id="rId71" Type="http://schemas.openxmlformats.org/officeDocument/2006/relationships/hyperlink" Target="https://azurlane.koumakan.jp/Chao_Ho" TargetMode="External"/><Relationship Id="rId70" Type="http://schemas.openxmlformats.org/officeDocument/2006/relationships/hyperlink" Target="https://azurlane.koumakan.jp/Ying_Swei" TargetMode="External"/><Relationship Id="rId139" Type="http://schemas.openxmlformats.org/officeDocument/2006/relationships/hyperlink" Target="https://azurlane.koumakan.jp/wiki/Gneisenau_META" TargetMode="External"/><Relationship Id="rId138" Type="http://schemas.openxmlformats.org/officeDocument/2006/relationships/hyperlink" Target="https://azurlane.koumakan.jp/wiki/Ulrich_von_Hutten" TargetMode="External"/><Relationship Id="rId137" Type="http://schemas.openxmlformats.org/officeDocument/2006/relationships/hyperlink" Target="https://azurlane.koumakan.jp/wiki/Chise_Asukagawa" TargetMode="External"/><Relationship Id="rId132" Type="http://schemas.openxmlformats.org/officeDocument/2006/relationships/hyperlink" Target="https://azurlane.koumakan.jp/wiki/New_Orleans" TargetMode="External"/><Relationship Id="rId131" Type="http://schemas.openxmlformats.org/officeDocument/2006/relationships/hyperlink" Target="https://azurlane.koumakan.jp/wiki/Foch" TargetMode="External"/><Relationship Id="rId130" Type="http://schemas.openxmlformats.org/officeDocument/2006/relationships/hyperlink" Target="https://azurlane.koumakan.jp/wiki/Hass" TargetMode="External"/><Relationship Id="rId136" Type="http://schemas.openxmlformats.org/officeDocument/2006/relationships/hyperlink" Target="https://azurlane.koumakan.jp/wiki/Mujina" TargetMode="External"/><Relationship Id="rId135" Type="http://schemas.openxmlformats.org/officeDocument/2006/relationships/hyperlink" Target="https://azurlane.koumakan.jp/wiki/Akane_Shinjo" TargetMode="External"/><Relationship Id="rId134" Type="http://schemas.openxmlformats.org/officeDocument/2006/relationships/hyperlink" Target="https://azurlane.koumakan.jp/wiki/Yume_Minami" TargetMode="External"/><Relationship Id="rId133" Type="http://schemas.openxmlformats.org/officeDocument/2006/relationships/hyperlink" Target="https://azurlane.koumakan.jp/wiki/Namiko" TargetMode="External"/><Relationship Id="rId62" Type="http://schemas.openxmlformats.org/officeDocument/2006/relationships/hyperlink" Target="https://azurlane.koumakan.jp/Weser" TargetMode="External"/><Relationship Id="rId61" Type="http://schemas.openxmlformats.org/officeDocument/2006/relationships/hyperlink" Target="https://azurlane.koumakan.jp/U-37" TargetMode="External"/><Relationship Id="rId64" Type="http://schemas.openxmlformats.org/officeDocument/2006/relationships/hyperlink" Target="https://azurlane.koumakan.jp/Z24" TargetMode="External"/><Relationship Id="rId63" Type="http://schemas.openxmlformats.org/officeDocument/2006/relationships/hyperlink" Target="https://azurlane.koumakan.jp/N%C3%BCrnberg" TargetMode="External"/><Relationship Id="rId66" Type="http://schemas.openxmlformats.org/officeDocument/2006/relationships/hyperlink" Target="https://azurlane.koumakan.jp/Pola" TargetMode="External"/><Relationship Id="rId65" Type="http://schemas.openxmlformats.org/officeDocument/2006/relationships/hyperlink" Target="https://azurlane.koumakan.jp/Z28" TargetMode="External"/><Relationship Id="rId68" Type="http://schemas.openxmlformats.org/officeDocument/2006/relationships/hyperlink" Target="https://azurlane.koumakan.jp/Stremitelny" TargetMode="External"/><Relationship Id="rId67" Type="http://schemas.openxmlformats.org/officeDocument/2006/relationships/hyperlink" Target="https://azurlane.koumakan.jp/Vincenzo_Gioberti" TargetMode="External"/><Relationship Id="rId60" Type="http://schemas.openxmlformats.org/officeDocument/2006/relationships/hyperlink" Target="https://azurlane.koumakan.jp/Prinz_Heinrich" TargetMode="External"/><Relationship Id="rId69" Type="http://schemas.openxmlformats.org/officeDocument/2006/relationships/hyperlink" Target="https://azurlane.koumakan.jp/U-410" TargetMode="External"/><Relationship Id="rId51" Type="http://schemas.openxmlformats.org/officeDocument/2006/relationships/hyperlink" Target="https://azurlane.koumakan.jp/Taihou_%C2%B5" TargetMode="External"/><Relationship Id="rId50" Type="http://schemas.openxmlformats.org/officeDocument/2006/relationships/hyperlink" Target="https://azurlane.koumakan.jp/Princeton" TargetMode="External"/><Relationship Id="rId53" Type="http://schemas.openxmlformats.org/officeDocument/2006/relationships/hyperlink" Target="https://azurlane.koumakan.jp/Dido_%C2%B5" TargetMode="External"/><Relationship Id="rId52" Type="http://schemas.openxmlformats.org/officeDocument/2006/relationships/hyperlink" Target="https://azurlane.koumakan.jp/Tashkent_%C2%B5" TargetMode="External"/><Relationship Id="rId55" Type="http://schemas.openxmlformats.org/officeDocument/2006/relationships/hyperlink" Target="https://azurlane.koumakan.jp/Baltimore_%C2%B5" TargetMode="External"/><Relationship Id="rId54" Type="http://schemas.openxmlformats.org/officeDocument/2006/relationships/hyperlink" Target="https://azurlane.koumakan.jp/Albacore_%C2%B5" TargetMode="External"/><Relationship Id="rId57" Type="http://schemas.openxmlformats.org/officeDocument/2006/relationships/hyperlink" Target="https://azurlane.koumakan.jp/Illustrious_%C2%B5" TargetMode="External"/><Relationship Id="rId56" Type="http://schemas.openxmlformats.org/officeDocument/2006/relationships/hyperlink" Target="https://azurlane.koumakan.jp/Roon_%C2%B5" TargetMode="External"/><Relationship Id="rId59" Type="http://schemas.openxmlformats.org/officeDocument/2006/relationships/hyperlink" Target="https://azurlane.koumakan.jp/Peter_Strasser" TargetMode="External"/><Relationship Id="rId58" Type="http://schemas.openxmlformats.org/officeDocument/2006/relationships/hyperlink" Target="https://azurlane.koumakan.jp/Le_Malin_%C2%B5" TargetMode="External"/></Relationships>
</file>

<file path=xl/worksheets/_rels/sheet3.xml.rels><?xml version="1.0" encoding="UTF-8" standalone="yes"?><Relationships xmlns="http://schemas.openxmlformats.org/package/2006/relationships"><Relationship Id="rId31" Type="http://schemas.openxmlformats.org/officeDocument/2006/relationships/hyperlink" Target="https://azurlane.koumakan.jp/Kazagumo" TargetMode="External"/><Relationship Id="rId30" Type="http://schemas.openxmlformats.org/officeDocument/2006/relationships/hyperlink" Target="https://azurlane.koumakan.jp/Morrison" TargetMode="External"/><Relationship Id="rId33" Type="http://schemas.openxmlformats.org/officeDocument/2006/relationships/hyperlink" Target="https://azurlane.koumakan.jp/wiki/Le_Terrible" TargetMode="External"/><Relationship Id="rId32" Type="http://schemas.openxmlformats.org/officeDocument/2006/relationships/hyperlink" Target="https://azurlane.koumakan.jp/Ingraham" TargetMode="External"/><Relationship Id="rId35" Type="http://schemas.openxmlformats.org/officeDocument/2006/relationships/hyperlink" Target="https://azurlane.koumakan.jp/Marie_Rose" TargetMode="External"/><Relationship Id="rId34" Type="http://schemas.openxmlformats.org/officeDocument/2006/relationships/hyperlink" Target="https://azurlane.koumakan.jp/wiki/Maill%C3%A9_Br%C3%A9z%C3%A9" TargetMode="External"/><Relationship Id="rId37" Type="http://schemas.openxmlformats.org/officeDocument/2006/relationships/vmlDrawing" Target="../drawings/vmlDrawing2.vml"/><Relationship Id="rId36" Type="http://schemas.openxmlformats.org/officeDocument/2006/relationships/drawing" Target="../drawings/drawing3.xml"/><Relationship Id="rId39" Type="http://schemas.openxmlformats.org/officeDocument/2006/relationships/table" Target="../tables/table1.xml"/><Relationship Id="rId20" Type="http://schemas.openxmlformats.org/officeDocument/2006/relationships/hyperlink" Target="https://azurlane.koumakan.jp/Vincenzo_Gioberti" TargetMode="External"/><Relationship Id="rId22" Type="http://schemas.openxmlformats.org/officeDocument/2006/relationships/hyperlink" Target="https://azurlane.koumakan.jp/Gremyashchy" TargetMode="External"/><Relationship Id="rId21" Type="http://schemas.openxmlformats.org/officeDocument/2006/relationships/hyperlink" Target="https://azurlane.koumakan.jp/Stremitelny" TargetMode="External"/><Relationship Id="rId24" Type="http://schemas.openxmlformats.org/officeDocument/2006/relationships/hyperlink" Target="https://azurlane.koumakan.jp/Maestrale" TargetMode="External"/><Relationship Id="rId23" Type="http://schemas.openxmlformats.org/officeDocument/2006/relationships/hyperlink" Target="https://azurlane.koumakan.jp/Gromky" TargetMode="External"/><Relationship Id="rId26" Type="http://schemas.openxmlformats.org/officeDocument/2006/relationships/hyperlink" Target="https://azurlane.koumakan.jp/Nicoloso_da_Recco" TargetMode="External"/><Relationship Id="rId25" Type="http://schemas.openxmlformats.org/officeDocument/2006/relationships/hyperlink" Target="https://azurlane.koumakan.jp/Libeccio" TargetMode="External"/><Relationship Id="rId28" Type="http://schemas.openxmlformats.org/officeDocument/2006/relationships/hyperlink" Target="https://azurlane.koumakan.jp/Allen_M._Sumner" TargetMode="External"/><Relationship Id="rId27" Type="http://schemas.openxmlformats.org/officeDocument/2006/relationships/hyperlink" Target="https://azurlane.koumakan.jp/Oite" TargetMode="External"/><Relationship Id="rId29" Type="http://schemas.openxmlformats.org/officeDocument/2006/relationships/hyperlink" Target="https://azurlane.koumakan.jp/Stephen_Potter" TargetMode="External"/><Relationship Id="rId11" Type="http://schemas.openxmlformats.org/officeDocument/2006/relationships/hyperlink" Target="https://azurlane.koumakan.jp/Vauquelin" TargetMode="External"/><Relationship Id="rId10" Type="http://schemas.openxmlformats.org/officeDocument/2006/relationships/hyperlink" Target="https://azurlane.koumakan.jp/Kasumi" TargetMode="External"/><Relationship Id="rId13" Type="http://schemas.openxmlformats.org/officeDocument/2006/relationships/hyperlink" Target="https://azurlane.koumakan.jp/Icarus" TargetMode="External"/><Relationship Id="rId12" Type="http://schemas.openxmlformats.org/officeDocument/2006/relationships/hyperlink" Target="https://azurlane.koumakan.jp/Eskimo" TargetMode="External"/><Relationship Id="rId15" Type="http://schemas.openxmlformats.org/officeDocument/2006/relationships/hyperlink" Target="https://azurlane.koumakan.jp/Suzutsuki" TargetMode="External"/><Relationship Id="rId14" Type="http://schemas.openxmlformats.org/officeDocument/2006/relationships/hyperlink" Target="https://azurlane.koumakan.jp/Z26" TargetMode="External"/><Relationship Id="rId17" Type="http://schemas.openxmlformats.org/officeDocument/2006/relationships/hyperlink" Target="https://azurlane.koumakan.jp/Le_Malin_%C2%B5" TargetMode="External"/><Relationship Id="rId16" Type="http://schemas.openxmlformats.org/officeDocument/2006/relationships/hyperlink" Target="https://azurlane.koumakan.jp/Tashkent_%C2%B5" TargetMode="External"/><Relationship Id="rId19" Type="http://schemas.openxmlformats.org/officeDocument/2006/relationships/hyperlink" Target="https://azurlane.koumakan.jp/Z28" TargetMode="External"/><Relationship Id="rId18" Type="http://schemas.openxmlformats.org/officeDocument/2006/relationships/hyperlink" Target="https://azurlane.koumakan.jp/Z24" TargetMode="External"/><Relationship Id="rId1" Type="http://schemas.openxmlformats.org/officeDocument/2006/relationships/comments" Target="../comments2.xml"/><Relationship Id="rId2" Type="http://schemas.openxmlformats.org/officeDocument/2006/relationships/hyperlink" Target="https://azurlane.koumakan.jp/Specialized_Bulin_Custom_MKIII" TargetMode="External"/><Relationship Id="rId3" Type="http://schemas.openxmlformats.org/officeDocument/2006/relationships/hyperlink" Target="https://azurlane.koumakan.jp/Shirayuki" TargetMode="External"/><Relationship Id="rId4" Type="http://schemas.openxmlformats.org/officeDocument/2006/relationships/hyperlink" Target="https://azurlane.koumakan.jp/Yuudachi" TargetMode="External"/><Relationship Id="rId9" Type="http://schemas.openxmlformats.org/officeDocument/2006/relationships/hyperlink" Target="https://azurlane.koumakan.jp/Yamakaze" TargetMode="External"/><Relationship Id="rId5" Type="http://schemas.openxmlformats.org/officeDocument/2006/relationships/hyperlink" Target="https://azurlane.koumakan.jp/Hatsushimo" TargetMode="External"/><Relationship Id="rId6" Type="http://schemas.openxmlformats.org/officeDocument/2006/relationships/hyperlink" Target="https://azurlane.koumakan.jp/Ariake" TargetMode="External"/><Relationship Id="rId7" Type="http://schemas.openxmlformats.org/officeDocument/2006/relationships/hyperlink" Target="https://azurlane.koumakan.jp/Shimakaze" TargetMode="External"/><Relationship Id="rId8" Type="http://schemas.openxmlformats.org/officeDocument/2006/relationships/hyperlink" Target="https://azurlane.koumakan.jp/Umikaze" TargetMode="External"/></Relationships>
</file>

<file path=xl/worksheets/_rels/sheet4.xml.rels><?xml version="1.0" encoding="UTF-8" standalone="yes"?><Relationships xmlns="http://schemas.openxmlformats.org/package/2006/relationships"><Relationship Id="rId30" Type="http://schemas.openxmlformats.org/officeDocument/2006/relationships/table" Target="../tables/table2.xml"/><Relationship Id="rId20" Type="http://schemas.openxmlformats.org/officeDocument/2006/relationships/hyperlink" Target="https://azurlane.koumakan.jp/Misaki" TargetMode="External"/><Relationship Id="rId22" Type="http://schemas.openxmlformats.org/officeDocument/2006/relationships/hyperlink" Target="https://azurlane.koumakan.jp/Haruka_Amami" TargetMode="External"/><Relationship Id="rId21" Type="http://schemas.openxmlformats.org/officeDocument/2006/relationships/hyperlink" Target="https://azurlane.koumakan.jp/Monica" TargetMode="External"/><Relationship Id="rId24" Type="http://schemas.openxmlformats.org/officeDocument/2006/relationships/hyperlink" Target="https://azurlane.koumakan.jp/wiki/Rikka_Takarada" TargetMode="External"/><Relationship Id="rId23" Type="http://schemas.openxmlformats.org/officeDocument/2006/relationships/hyperlink" Target="https://azurlane.koumakan.jp/Mainz" TargetMode="External"/><Relationship Id="rId26" Type="http://schemas.openxmlformats.org/officeDocument/2006/relationships/hyperlink" Target="https://azurlane.koumakan.jp/wiki/Magdeburg" TargetMode="External"/><Relationship Id="rId25" Type="http://schemas.openxmlformats.org/officeDocument/2006/relationships/hyperlink" Target="https://azurlane.koumakan.jp/wiki/Hass" TargetMode="External"/><Relationship Id="rId28" Type="http://schemas.openxmlformats.org/officeDocument/2006/relationships/vmlDrawing" Target="../drawings/vmlDrawing3.vml"/><Relationship Id="rId27" Type="http://schemas.openxmlformats.org/officeDocument/2006/relationships/drawing" Target="../drawings/drawing4.xml"/><Relationship Id="rId11" Type="http://schemas.openxmlformats.org/officeDocument/2006/relationships/hyperlink" Target="https://azurlane.koumakan.jp/Dido_%C2%B5" TargetMode="External"/><Relationship Id="rId10" Type="http://schemas.openxmlformats.org/officeDocument/2006/relationships/hyperlink" Target="https://azurlane.koumakan.jp/Hermione" TargetMode="External"/><Relationship Id="rId13" Type="http://schemas.openxmlformats.org/officeDocument/2006/relationships/hyperlink" Target="https://azurlane.koumakan.jp/Ying_Swei" TargetMode="External"/><Relationship Id="rId12" Type="http://schemas.openxmlformats.org/officeDocument/2006/relationships/hyperlink" Target="https://azurlane.koumakan.jp/N%C3%BCrnberg" TargetMode="External"/><Relationship Id="rId15" Type="http://schemas.openxmlformats.org/officeDocument/2006/relationships/hyperlink" Target="https://azurlane.koumakan.jp/Penelope" TargetMode="External"/><Relationship Id="rId14" Type="http://schemas.openxmlformats.org/officeDocument/2006/relationships/hyperlink" Target="https://azurlane.koumakan.jp/Chao_Ho" TargetMode="External"/><Relationship Id="rId17" Type="http://schemas.openxmlformats.org/officeDocument/2006/relationships/hyperlink" Target="https://azurlane.koumakan.jp/Duca_degli_Abruzzi" TargetMode="External"/><Relationship Id="rId16" Type="http://schemas.openxmlformats.org/officeDocument/2006/relationships/hyperlink" Target="https://azurlane.koumakan.jp/Murmansk" TargetMode="External"/><Relationship Id="rId19" Type="http://schemas.openxmlformats.org/officeDocument/2006/relationships/hyperlink" Target="https://azurlane.koumakan.jp/Helena_META" TargetMode="External"/><Relationship Id="rId18" Type="http://schemas.openxmlformats.org/officeDocument/2006/relationships/hyperlink" Target="https://azurlane.koumakan.jp/Boise" TargetMode="External"/><Relationship Id="rId1" Type="http://schemas.openxmlformats.org/officeDocument/2006/relationships/comments" Target="../comments3.xml"/><Relationship Id="rId2" Type="http://schemas.openxmlformats.org/officeDocument/2006/relationships/hyperlink" Target="https://azurlane.koumakan.jp/Helena" TargetMode="External"/><Relationship Id="rId3" Type="http://schemas.openxmlformats.org/officeDocument/2006/relationships/hyperlink" Target="https://azurlane.koumakan.jp/Yura" TargetMode="External"/><Relationship Id="rId4" Type="http://schemas.openxmlformats.org/officeDocument/2006/relationships/hyperlink" Target="https://azurlane.koumakan.jp/Cleveland_%C2%B5" TargetMode="External"/><Relationship Id="rId9" Type="http://schemas.openxmlformats.org/officeDocument/2006/relationships/hyperlink" Target="https://azurlane.koumakan.jp/La_Galissonni%C3%A8re" TargetMode="External"/><Relationship Id="rId5" Type="http://schemas.openxmlformats.org/officeDocument/2006/relationships/hyperlink" Target="https://azurlane.koumakan.jp/Sheffield_%C2%B5" TargetMode="External"/><Relationship Id="rId6" Type="http://schemas.openxmlformats.org/officeDocument/2006/relationships/hyperlink" Target="https://azurlane.koumakan.jp/Pamiat_Merkuria" TargetMode="External"/><Relationship Id="rId7" Type="http://schemas.openxmlformats.org/officeDocument/2006/relationships/hyperlink" Target="https://azurlane.koumakan.jp/Kirov" TargetMode="External"/><Relationship Id="rId8" Type="http://schemas.openxmlformats.org/officeDocument/2006/relationships/hyperlink" Target="https://azurlane.koumakan.jp/Jeanne_d%27Arc" TargetMode="External"/></Relationships>
</file>

<file path=xl/worksheets/_rels/sheet5.xml.rels><?xml version="1.0" encoding="UTF-8" standalone="yes"?><Relationships xmlns="http://schemas.openxmlformats.org/package/2006/relationships"><Relationship Id="rId20" Type="http://schemas.openxmlformats.org/officeDocument/2006/relationships/hyperlink" Target="https://azurlane.koumakan.jp/wiki/Namiko" TargetMode="External"/><Relationship Id="rId22" Type="http://schemas.openxmlformats.org/officeDocument/2006/relationships/hyperlink" Target="https://azurlane.koumakan.jp/wiki/Prinz_Adalbert" TargetMode="External"/><Relationship Id="rId21" Type="http://schemas.openxmlformats.org/officeDocument/2006/relationships/hyperlink" Target="https://azurlane.koumakan.jp/wiki/Yume_Minami" TargetMode="External"/><Relationship Id="rId24" Type="http://schemas.openxmlformats.org/officeDocument/2006/relationships/vmlDrawing" Target="../drawings/vmlDrawing4.vml"/><Relationship Id="rId23" Type="http://schemas.openxmlformats.org/officeDocument/2006/relationships/drawing" Target="../drawings/drawing5.xml"/><Relationship Id="rId26" Type="http://schemas.openxmlformats.org/officeDocument/2006/relationships/table" Target="../tables/table3.xml"/><Relationship Id="rId11" Type="http://schemas.openxmlformats.org/officeDocument/2006/relationships/hyperlink" Target="https://azurlane.koumakan.jp/San_Francisco" TargetMode="External"/><Relationship Id="rId10" Type="http://schemas.openxmlformats.org/officeDocument/2006/relationships/hyperlink" Target="https://azurlane.koumakan.jp/Tallinn" TargetMode="External"/><Relationship Id="rId13" Type="http://schemas.openxmlformats.org/officeDocument/2006/relationships/hyperlink" Target="https://azurlane.koumakan.jp/Azusa_Miura" TargetMode="External"/><Relationship Id="rId12" Type="http://schemas.openxmlformats.org/officeDocument/2006/relationships/hyperlink" Target="https://azurlane.koumakan.jp/Kasumi_(DOA)" TargetMode="External"/><Relationship Id="rId15" Type="http://schemas.openxmlformats.org/officeDocument/2006/relationships/hyperlink" Target="https://azurlane.koumakan.jp/Drake" TargetMode="External"/><Relationship Id="rId14" Type="http://schemas.openxmlformats.org/officeDocument/2006/relationships/hyperlink" Target="https://azurlane.koumakan.jp/Cheshire" TargetMode="External"/><Relationship Id="rId17" Type="http://schemas.openxmlformats.org/officeDocument/2006/relationships/hyperlink" Target="https://azurlane.koumakan.jp/%C3%84gir" TargetMode="External"/><Relationship Id="rId16" Type="http://schemas.openxmlformats.org/officeDocument/2006/relationships/hyperlink" Target="https://azurlane.koumakan.jp/Anchorage" TargetMode="External"/><Relationship Id="rId19" Type="http://schemas.openxmlformats.org/officeDocument/2006/relationships/hyperlink" Target="https://azurlane.koumakan.jp/wiki/New_Orleans" TargetMode="External"/><Relationship Id="rId18" Type="http://schemas.openxmlformats.org/officeDocument/2006/relationships/hyperlink" Target="https://azurlane.koumakan.jp/wiki/Foch" TargetMode="External"/><Relationship Id="rId1" Type="http://schemas.openxmlformats.org/officeDocument/2006/relationships/comments" Target="../comments4.xml"/><Relationship Id="rId2" Type="http://schemas.openxmlformats.org/officeDocument/2006/relationships/hyperlink" Target="https://azurlane.koumakan.jp/Chikuma" TargetMode="External"/><Relationship Id="rId3" Type="http://schemas.openxmlformats.org/officeDocument/2006/relationships/hyperlink" Target="https://azurlane.koumakan.jp/Admiral_Hipper_%C2%B5" TargetMode="External"/><Relationship Id="rId4" Type="http://schemas.openxmlformats.org/officeDocument/2006/relationships/hyperlink" Target="https://azurlane.koumakan.jp/Alg%C3%A9rie" TargetMode="External"/><Relationship Id="rId9" Type="http://schemas.openxmlformats.org/officeDocument/2006/relationships/hyperlink" Target="https://azurlane.koumakan.jp/Pola" TargetMode="External"/><Relationship Id="rId5" Type="http://schemas.openxmlformats.org/officeDocument/2006/relationships/hyperlink" Target="https://azurlane.koumakan.jp/Kumano" TargetMode="External"/><Relationship Id="rId6" Type="http://schemas.openxmlformats.org/officeDocument/2006/relationships/hyperlink" Target="https://azurlane.koumakan.jp/Baltimore_%C2%B5" TargetMode="External"/><Relationship Id="rId7" Type="http://schemas.openxmlformats.org/officeDocument/2006/relationships/hyperlink" Target="https://azurlane.koumakan.jp/Roon_%C2%B5" TargetMode="External"/><Relationship Id="rId8" Type="http://schemas.openxmlformats.org/officeDocument/2006/relationships/hyperlink" Target="https://azurlane.koumakan.jp/Prinz_Heinrich" TargetMode="External"/></Relationships>
</file>

<file path=xl/worksheets/_rels/sheet6.xml.rels><?xml version="1.0" encoding="UTF-8" standalone="yes"?><Relationships xmlns="http://schemas.openxmlformats.org/package/2006/relationships"><Relationship Id="rId40" Type="http://schemas.openxmlformats.org/officeDocument/2006/relationships/hyperlink" Target="https://azurlane.koumakan.jp/wiki/Rikka_Takarada" TargetMode="External"/><Relationship Id="rId42" Type="http://schemas.openxmlformats.org/officeDocument/2006/relationships/hyperlink" Target="https://azurlane.koumakan.jp/wiki/Foch" TargetMode="External"/><Relationship Id="rId41" Type="http://schemas.openxmlformats.org/officeDocument/2006/relationships/hyperlink" Target="https://azurlane.koumakan.jp/wiki/Hass" TargetMode="External"/><Relationship Id="rId44" Type="http://schemas.openxmlformats.org/officeDocument/2006/relationships/hyperlink" Target="https://azurlane.koumakan.jp/wiki/Namiko" TargetMode="External"/><Relationship Id="rId43" Type="http://schemas.openxmlformats.org/officeDocument/2006/relationships/hyperlink" Target="https://azurlane.koumakan.jp/wiki/New_Orleans" TargetMode="External"/><Relationship Id="rId46" Type="http://schemas.openxmlformats.org/officeDocument/2006/relationships/hyperlink" Target="https://azurlane.koumakan.jp/wiki/Prinz_Adalbert" TargetMode="External"/><Relationship Id="rId45" Type="http://schemas.openxmlformats.org/officeDocument/2006/relationships/hyperlink" Target="https://azurlane.koumakan.jp/wiki/Yume_Minami" TargetMode="External"/><Relationship Id="rId48" Type="http://schemas.openxmlformats.org/officeDocument/2006/relationships/drawing" Target="../drawings/drawing6.xml"/><Relationship Id="rId47" Type="http://schemas.openxmlformats.org/officeDocument/2006/relationships/hyperlink" Target="https://azurlane.koumakan.jp/wiki/Magdeburg" TargetMode="External"/><Relationship Id="rId49" Type="http://schemas.openxmlformats.org/officeDocument/2006/relationships/vmlDrawing" Target="../drawings/vmlDrawing5.vml"/><Relationship Id="rId31" Type="http://schemas.openxmlformats.org/officeDocument/2006/relationships/hyperlink" Target="https://azurlane.koumakan.jp/Misaki" TargetMode="External"/><Relationship Id="rId30" Type="http://schemas.openxmlformats.org/officeDocument/2006/relationships/hyperlink" Target="https://azurlane.koumakan.jp/Kasumi_(DOA)" TargetMode="External"/><Relationship Id="rId33" Type="http://schemas.openxmlformats.org/officeDocument/2006/relationships/hyperlink" Target="https://azurlane.koumakan.jp/Haruka_Amami" TargetMode="External"/><Relationship Id="rId32" Type="http://schemas.openxmlformats.org/officeDocument/2006/relationships/hyperlink" Target="https://azurlane.koumakan.jp/Monica" TargetMode="External"/><Relationship Id="rId35" Type="http://schemas.openxmlformats.org/officeDocument/2006/relationships/hyperlink" Target="https://azurlane.koumakan.jp/Cheshire" TargetMode="External"/><Relationship Id="rId34" Type="http://schemas.openxmlformats.org/officeDocument/2006/relationships/hyperlink" Target="https://azurlane.koumakan.jp/Azusa_Miura" TargetMode="External"/><Relationship Id="rId37" Type="http://schemas.openxmlformats.org/officeDocument/2006/relationships/hyperlink" Target="https://azurlane.koumakan.jp/Mainz" TargetMode="External"/><Relationship Id="rId36" Type="http://schemas.openxmlformats.org/officeDocument/2006/relationships/hyperlink" Target="https://azurlane.koumakan.jp/Drake" TargetMode="External"/><Relationship Id="rId39" Type="http://schemas.openxmlformats.org/officeDocument/2006/relationships/hyperlink" Target="https://azurlane.koumakan.jp/%C3%84gir" TargetMode="External"/><Relationship Id="rId38" Type="http://schemas.openxmlformats.org/officeDocument/2006/relationships/hyperlink" Target="https://azurlane.koumakan.jp/Anchorage" TargetMode="External"/><Relationship Id="rId20" Type="http://schemas.openxmlformats.org/officeDocument/2006/relationships/hyperlink" Target="https://azurlane.koumakan.jp/Pola" TargetMode="External"/><Relationship Id="rId22" Type="http://schemas.openxmlformats.org/officeDocument/2006/relationships/hyperlink" Target="https://azurlane.koumakan.jp/Chao_Ho" TargetMode="External"/><Relationship Id="rId21" Type="http://schemas.openxmlformats.org/officeDocument/2006/relationships/hyperlink" Target="https://azurlane.koumakan.jp/Ying_Swei" TargetMode="External"/><Relationship Id="rId24" Type="http://schemas.openxmlformats.org/officeDocument/2006/relationships/hyperlink" Target="https://azurlane.koumakan.jp/Tallinn" TargetMode="External"/><Relationship Id="rId23" Type="http://schemas.openxmlformats.org/officeDocument/2006/relationships/hyperlink" Target="https://azurlane.koumakan.jp/Penelope" TargetMode="External"/><Relationship Id="rId26" Type="http://schemas.openxmlformats.org/officeDocument/2006/relationships/hyperlink" Target="https://azurlane.koumakan.jp/Duca_degli_Abruzzi" TargetMode="External"/><Relationship Id="rId25" Type="http://schemas.openxmlformats.org/officeDocument/2006/relationships/hyperlink" Target="https://azurlane.koumakan.jp/Murmansk" TargetMode="External"/><Relationship Id="rId28" Type="http://schemas.openxmlformats.org/officeDocument/2006/relationships/hyperlink" Target="https://azurlane.koumakan.jp/Boise" TargetMode="External"/><Relationship Id="rId27" Type="http://schemas.openxmlformats.org/officeDocument/2006/relationships/hyperlink" Target="https://azurlane.koumakan.jp/San_Francisco" TargetMode="External"/><Relationship Id="rId29" Type="http://schemas.openxmlformats.org/officeDocument/2006/relationships/hyperlink" Target="https://azurlane.koumakan.jp/Helena_META" TargetMode="External"/><Relationship Id="rId11" Type="http://schemas.openxmlformats.org/officeDocument/2006/relationships/hyperlink" Target="https://azurlane.koumakan.jp/Alg%C3%A9rie" TargetMode="External"/><Relationship Id="rId10" Type="http://schemas.openxmlformats.org/officeDocument/2006/relationships/hyperlink" Target="https://azurlane.koumakan.jp/Jeanne_d%27Arc" TargetMode="External"/><Relationship Id="rId13" Type="http://schemas.openxmlformats.org/officeDocument/2006/relationships/hyperlink" Target="https://azurlane.koumakan.jp/Hermione" TargetMode="External"/><Relationship Id="rId12" Type="http://schemas.openxmlformats.org/officeDocument/2006/relationships/hyperlink" Target="https://azurlane.koumakan.jp/La_Galissonni%C3%A8re" TargetMode="External"/><Relationship Id="rId15" Type="http://schemas.openxmlformats.org/officeDocument/2006/relationships/hyperlink" Target="https://azurlane.koumakan.jp/Dido_%C2%B5" TargetMode="External"/><Relationship Id="rId14" Type="http://schemas.openxmlformats.org/officeDocument/2006/relationships/hyperlink" Target="https://azurlane.koumakan.jp/Kumano" TargetMode="External"/><Relationship Id="rId17" Type="http://schemas.openxmlformats.org/officeDocument/2006/relationships/hyperlink" Target="https://azurlane.koumakan.jp/Roon_%C2%B5" TargetMode="External"/><Relationship Id="rId16" Type="http://schemas.openxmlformats.org/officeDocument/2006/relationships/hyperlink" Target="https://azurlane.koumakan.jp/Baltimore_%C2%B5" TargetMode="External"/><Relationship Id="rId19" Type="http://schemas.openxmlformats.org/officeDocument/2006/relationships/hyperlink" Target="https://azurlane.koumakan.jp/N%C3%BCrnberg" TargetMode="External"/><Relationship Id="rId18" Type="http://schemas.openxmlformats.org/officeDocument/2006/relationships/hyperlink" Target="https://azurlane.koumakan.jp/Prinz_Heinrich" TargetMode="External"/><Relationship Id="rId1" Type="http://schemas.openxmlformats.org/officeDocument/2006/relationships/comments" Target="../comments5.xml"/><Relationship Id="rId2" Type="http://schemas.openxmlformats.org/officeDocument/2006/relationships/hyperlink" Target="https://azurlane.koumakan.jp/Helena" TargetMode="External"/><Relationship Id="rId3" Type="http://schemas.openxmlformats.org/officeDocument/2006/relationships/hyperlink" Target="https://azurlane.koumakan.jp/Yura" TargetMode="External"/><Relationship Id="rId4" Type="http://schemas.openxmlformats.org/officeDocument/2006/relationships/hyperlink" Target="https://azurlane.koumakan.jp/Chikuma" TargetMode="External"/><Relationship Id="rId9" Type="http://schemas.openxmlformats.org/officeDocument/2006/relationships/hyperlink" Target="https://azurlane.koumakan.jp/Kirov" TargetMode="External"/><Relationship Id="rId5" Type="http://schemas.openxmlformats.org/officeDocument/2006/relationships/hyperlink" Target="https://azurlane.koumakan.jp/Cleveland_%C2%B5" TargetMode="External"/><Relationship Id="rId6" Type="http://schemas.openxmlformats.org/officeDocument/2006/relationships/hyperlink" Target="https://azurlane.koumakan.jp/Sheffield_%C2%B5" TargetMode="External"/><Relationship Id="rId7" Type="http://schemas.openxmlformats.org/officeDocument/2006/relationships/hyperlink" Target="https://azurlane.koumakan.jp/Admiral_Hipper_%C2%B5" TargetMode="External"/><Relationship Id="rId8" Type="http://schemas.openxmlformats.org/officeDocument/2006/relationships/hyperlink" Target="https://azurlane.koumakan.jp/Pamiat_Merkuria" TargetMode="External"/><Relationship Id="rId51" Type="http://schemas.openxmlformats.org/officeDocument/2006/relationships/table" Target="../tables/table4.xml"/></Relationships>
</file>

<file path=xl/worksheets/_rels/sheet7.xml.rels><?xml version="1.0" encoding="UTF-8" standalone="yes"?><Relationships xmlns="http://schemas.openxmlformats.org/package/2006/relationships"><Relationship Id="rId20" Type="http://schemas.openxmlformats.org/officeDocument/2006/relationships/hyperlink" Target="https://azurlane.koumakan.jp/wiki/Ulrich_von_Hutten" TargetMode="External"/><Relationship Id="rId22" Type="http://schemas.openxmlformats.org/officeDocument/2006/relationships/drawing" Target="../drawings/drawing7.xml"/><Relationship Id="rId21" Type="http://schemas.openxmlformats.org/officeDocument/2006/relationships/hyperlink" Target="https://azurlane.koumakan.jp/wiki/Gneisenau_META" TargetMode="External"/><Relationship Id="rId23" Type="http://schemas.openxmlformats.org/officeDocument/2006/relationships/vmlDrawing" Target="../drawings/vmlDrawing6.vml"/><Relationship Id="rId25" Type="http://schemas.openxmlformats.org/officeDocument/2006/relationships/table" Target="../tables/table5.xml"/><Relationship Id="rId11" Type="http://schemas.openxmlformats.org/officeDocument/2006/relationships/hyperlink" Target="https://azurlane.koumakan.jp/Fusou_META" TargetMode="External"/><Relationship Id="rId10" Type="http://schemas.openxmlformats.org/officeDocument/2006/relationships/hyperlink" Target="https://azurlane.koumakan.jp/Amagi-chan" TargetMode="External"/><Relationship Id="rId13" Type="http://schemas.openxmlformats.org/officeDocument/2006/relationships/hyperlink" Target="https://azurlane.koumakan.jp/Nagisa" TargetMode="External"/><Relationship Id="rId12" Type="http://schemas.openxmlformats.org/officeDocument/2006/relationships/hyperlink" Target="https://azurlane.koumakan.jp/Honoka" TargetMode="External"/><Relationship Id="rId15" Type="http://schemas.openxmlformats.org/officeDocument/2006/relationships/hyperlink" Target="https://azurlane.koumakan.jp/Odin" TargetMode="External"/><Relationship Id="rId14" Type="http://schemas.openxmlformats.org/officeDocument/2006/relationships/hyperlink" Target="https://azurlane.koumakan.jp/Iori_Minase" TargetMode="External"/><Relationship Id="rId17" Type="http://schemas.openxmlformats.org/officeDocument/2006/relationships/hyperlink" Target="https://azurlane.koumakan.jp/Marco_Polo" TargetMode="External"/><Relationship Id="rId16" Type="http://schemas.openxmlformats.org/officeDocument/2006/relationships/hyperlink" Target="https://azurlane.koumakan.jp/Champagne" TargetMode="External"/><Relationship Id="rId19" Type="http://schemas.openxmlformats.org/officeDocument/2006/relationships/hyperlink" Target="https://azurlane.koumakan.jp/wiki/Mujina" TargetMode="External"/><Relationship Id="rId18" Type="http://schemas.openxmlformats.org/officeDocument/2006/relationships/hyperlink" Target="https://azurlane.koumakan.jp/wiki/Akane_Shinjo" TargetMode="External"/><Relationship Id="rId1" Type="http://schemas.openxmlformats.org/officeDocument/2006/relationships/comments" Target="../comments6.xml"/><Relationship Id="rId2" Type="http://schemas.openxmlformats.org/officeDocument/2006/relationships/hyperlink" Target="https://azurlane.koumakan.jp/New_Jersey" TargetMode="External"/><Relationship Id="rId3" Type="http://schemas.openxmlformats.org/officeDocument/2006/relationships/hyperlink" Target="https://azurlane.koumakan.jp/Kii" TargetMode="External"/><Relationship Id="rId4" Type="http://schemas.openxmlformats.org/officeDocument/2006/relationships/hyperlink" Target="https://azurlane.koumakan.jp/Gascogne_%C2%B5" TargetMode="External"/><Relationship Id="rId9" Type="http://schemas.openxmlformats.org/officeDocument/2006/relationships/hyperlink" Target="https://azurlane.koumakan.jp/Vittorio_Veneto" TargetMode="External"/><Relationship Id="rId5" Type="http://schemas.openxmlformats.org/officeDocument/2006/relationships/hyperlink" Target="https://azurlane.koumakan.jp/Sovetskaya_Belorussiya" TargetMode="External"/><Relationship Id="rId6" Type="http://schemas.openxmlformats.org/officeDocument/2006/relationships/hyperlink" Target="https://azurlane.koumakan.jp/Richelieu" TargetMode="External"/><Relationship Id="rId7" Type="http://schemas.openxmlformats.org/officeDocument/2006/relationships/hyperlink" Target="https://azurlane.koumakan.jp/Howe" TargetMode="External"/><Relationship Id="rId8" Type="http://schemas.openxmlformats.org/officeDocument/2006/relationships/hyperlink" Target="https://azurlane.koumakan.jp/Valiant" TargetMode="External"/></Relationships>
</file>

<file path=xl/worksheets/_rels/sheet8.xml.rels><?xml version="1.0" encoding="UTF-8" standalone="yes"?><Relationships xmlns="http://schemas.openxmlformats.org/package/2006/relationships"><Relationship Id="rId31" Type="http://schemas.openxmlformats.org/officeDocument/2006/relationships/drawing" Target="../drawings/drawing8.xml"/><Relationship Id="rId30" Type="http://schemas.openxmlformats.org/officeDocument/2006/relationships/hyperlink" Target="https://azurlane.koumakan.jp/wiki/Elbe" TargetMode="External"/><Relationship Id="rId32" Type="http://schemas.openxmlformats.org/officeDocument/2006/relationships/vmlDrawing" Target="../drawings/vmlDrawing7.vml"/><Relationship Id="rId34" Type="http://schemas.openxmlformats.org/officeDocument/2006/relationships/table" Target="../tables/table6.xml"/><Relationship Id="rId20" Type="http://schemas.openxmlformats.org/officeDocument/2006/relationships/hyperlink" Target="https://azurlane.koumakan.jp/Katsuragi" TargetMode="External"/><Relationship Id="rId22" Type="http://schemas.openxmlformats.org/officeDocument/2006/relationships/hyperlink" Target="https://azurlane.koumakan.jp/Ark_Royal_META" TargetMode="External"/><Relationship Id="rId21" Type="http://schemas.openxmlformats.org/officeDocument/2006/relationships/hyperlink" Target="https://azurlane.koumakan.jp/Hiryuu_META" TargetMode="External"/><Relationship Id="rId24" Type="http://schemas.openxmlformats.org/officeDocument/2006/relationships/hyperlink" Target="https://azurlane.koumakan.jp/Nyotengu" TargetMode="External"/><Relationship Id="rId23" Type="http://schemas.openxmlformats.org/officeDocument/2006/relationships/hyperlink" Target="https://azurlane.koumakan.jp/Souryuu_META" TargetMode="External"/><Relationship Id="rId26" Type="http://schemas.openxmlformats.org/officeDocument/2006/relationships/hyperlink" Target="https://azurlane.koumakan.jp/Hakuryuu" TargetMode="External"/><Relationship Id="rId25" Type="http://schemas.openxmlformats.org/officeDocument/2006/relationships/hyperlink" Target="https://azurlane.koumakan.jp/Chihaya_Kisaragi" TargetMode="External"/><Relationship Id="rId28" Type="http://schemas.openxmlformats.org/officeDocument/2006/relationships/hyperlink" Target="https://azurlane.koumakan.jp/wiki/Chise_Asukagawa" TargetMode="External"/><Relationship Id="rId27" Type="http://schemas.openxmlformats.org/officeDocument/2006/relationships/hyperlink" Target="https://azurlane.koumakan.jp/August_von_Parseval" TargetMode="External"/><Relationship Id="rId29" Type="http://schemas.openxmlformats.org/officeDocument/2006/relationships/hyperlink" Target="https://azurlane.koumakan.jp/wiki/Hiyou_META" TargetMode="External"/><Relationship Id="rId11" Type="http://schemas.openxmlformats.org/officeDocument/2006/relationships/hyperlink" Target="https://azurlane.koumakan.jp/Chiyoda" TargetMode="External"/><Relationship Id="rId10" Type="http://schemas.openxmlformats.org/officeDocument/2006/relationships/hyperlink" Target="https://azurlane.koumakan.jp/Chitose" TargetMode="External"/><Relationship Id="rId13" Type="http://schemas.openxmlformats.org/officeDocument/2006/relationships/hyperlink" Target="https://azurlane.koumakan.jp/Taihou_%C2%B5" TargetMode="External"/><Relationship Id="rId12" Type="http://schemas.openxmlformats.org/officeDocument/2006/relationships/hyperlink" Target="https://azurlane.koumakan.jp/Princeton" TargetMode="External"/><Relationship Id="rId15" Type="http://schemas.openxmlformats.org/officeDocument/2006/relationships/hyperlink" Target="https://azurlane.koumakan.jp/Peter_Strasser" TargetMode="External"/><Relationship Id="rId14" Type="http://schemas.openxmlformats.org/officeDocument/2006/relationships/hyperlink" Target="https://azurlane.koumakan.jp/Illustrious_%C2%B5" TargetMode="External"/><Relationship Id="rId17" Type="http://schemas.openxmlformats.org/officeDocument/2006/relationships/hyperlink" Target="https://azurlane.koumakan.jp/Aquila" TargetMode="External"/><Relationship Id="rId16" Type="http://schemas.openxmlformats.org/officeDocument/2006/relationships/hyperlink" Target="https://azurlane.koumakan.jp/Weser" TargetMode="External"/><Relationship Id="rId19" Type="http://schemas.openxmlformats.org/officeDocument/2006/relationships/hyperlink" Target="https://azurlane.koumakan.jp/Little_Enterprise" TargetMode="External"/><Relationship Id="rId18" Type="http://schemas.openxmlformats.org/officeDocument/2006/relationships/hyperlink" Target="https://azurlane.koumakan.jp/Ticonderoga" TargetMode="External"/><Relationship Id="rId1" Type="http://schemas.openxmlformats.org/officeDocument/2006/relationships/comments" Target="../comments7.xml"/><Relationship Id="rId2" Type="http://schemas.openxmlformats.org/officeDocument/2006/relationships/hyperlink" Target="https://azurlane.koumakan.jp/Eagle" TargetMode="External"/><Relationship Id="rId3" Type="http://schemas.openxmlformats.org/officeDocument/2006/relationships/hyperlink" Target="https://azurlane.koumakan.jp/Ark_Royal" TargetMode="External"/><Relationship Id="rId4" Type="http://schemas.openxmlformats.org/officeDocument/2006/relationships/hyperlink" Target="https://azurlane.koumakan.jp/Shinano" TargetMode="External"/><Relationship Id="rId9" Type="http://schemas.openxmlformats.org/officeDocument/2006/relationships/hyperlink" Target="https://azurlane.koumakan.jp/Perseus" TargetMode="External"/><Relationship Id="rId5" Type="http://schemas.openxmlformats.org/officeDocument/2006/relationships/hyperlink" Target="https://azurlane.koumakan.jp/Independence" TargetMode="External"/><Relationship Id="rId6" Type="http://schemas.openxmlformats.org/officeDocument/2006/relationships/hyperlink" Target="https://azurlane.koumakan.jp/Akagi_%C2%B5" TargetMode="External"/><Relationship Id="rId7" Type="http://schemas.openxmlformats.org/officeDocument/2006/relationships/hyperlink" Target="https://azurlane.koumakan.jp/B%C3%A9arn" TargetMode="External"/><Relationship Id="rId8" Type="http://schemas.openxmlformats.org/officeDocument/2006/relationships/hyperlink" Target="https://azurlane.koumakan.jp/Little_Illustrious" TargetMode="External"/></Relationships>
</file>

<file path=xl/worksheets/_rels/sheet9.xml.rels><?xml version="1.0" encoding="UTF-8" standalone="yes"?><Relationships xmlns="http://schemas.openxmlformats.org/package/2006/relationships"><Relationship Id="rId1" Type="http://schemas.openxmlformats.org/officeDocument/2006/relationships/comments" Target="../comments8.xml"/><Relationship Id="rId2" Type="http://schemas.openxmlformats.org/officeDocument/2006/relationships/hyperlink" Target="https://azurlane.koumakan.jp/Kashino" TargetMode="External"/><Relationship Id="rId3" Type="http://schemas.openxmlformats.org/officeDocument/2006/relationships/hyperlink" Target="https://azurlane.koumakan.jp/Ritsuko_Akizuki" TargetMode="External"/><Relationship Id="rId4" Type="http://schemas.openxmlformats.org/officeDocument/2006/relationships/drawing" Target="../drawings/drawing9.xml"/><Relationship Id="rId5" Type="http://schemas.openxmlformats.org/officeDocument/2006/relationships/vmlDrawing" Target="../drawings/vmlDrawing8.vml"/><Relationship Id="rId7" Type="http://schemas.openxmlformats.org/officeDocument/2006/relationships/table" Target="../tables/table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44.14"/>
    <col customWidth="1" min="2" max="2" width="4.0"/>
    <col customWidth="1" min="3" max="3" width="97.14"/>
    <col customWidth="1" min="4" max="4" width="5.14"/>
  </cols>
  <sheetData>
    <row r="1" ht="498.75" customHeight="1">
      <c r="A1" s="1" t="s">
        <v>0</v>
      </c>
      <c r="B1" s="2"/>
      <c r="C1" s="3" t="s">
        <v>1</v>
      </c>
      <c r="D1" s="4"/>
    </row>
    <row r="2">
      <c r="A2" s="5" t="s">
        <v>2</v>
      </c>
      <c r="B2" s="2"/>
      <c r="C2" s="6"/>
      <c r="D2" s="4"/>
    </row>
    <row r="3">
      <c r="A3" s="7" t="str">
        <f>HYPERLINK("https://docs.google.com/spreadsheets/d/1B-kGGh6rHk7PlXQDkAl8bOGPUMp0oncVFeJAzSjdEgg/edit#gid=594301529","AriPanda's Azur Lane Guide")</f>
        <v>AriPanda's Azur Lane Guide</v>
      </c>
      <c r="B3" s="2"/>
      <c r="C3" s="6"/>
      <c r="D3" s="4"/>
    </row>
    <row r="4">
      <c r="A4" s="7" t="str">
        <f>HYPERLINK("https://docs.google.com/document/d/1RvurNno-Rkck-8Xc9zRd_jSUKVegC5WzqgHoFDsU4x4/edit","Doublemint's ""Gear and Girls""")</f>
        <v>Doublemint's "Gear and Girls"</v>
      </c>
      <c r="B4" s="2"/>
      <c r="C4" s="6"/>
      <c r="D4" s="4"/>
    </row>
    <row r="5">
      <c r="A5" s="8" t="str">
        <f>HYPERLINK("https://azurlane.koumakan.jp/Azur_Lane_Wiki","Azur Lane wiki")</f>
        <v>Azur Lane wiki</v>
      </c>
      <c r="B5" s="2"/>
      <c r="C5" s="9"/>
      <c r="D5" s="4"/>
    </row>
    <row r="6">
      <c r="A6" s="4"/>
      <c r="B6" s="4"/>
      <c r="C6" s="4"/>
      <c r="D6" s="4"/>
    </row>
  </sheetData>
  <mergeCells count="1">
    <mergeCell ref="C1:C5"/>
  </mergeCells>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3C47D"/>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5.29"/>
    <col customWidth="1" min="2" max="2" width="5.14"/>
    <col customWidth="1" min="3" max="3" width="12.43"/>
    <col customWidth="1" min="4" max="4" width="10.57"/>
    <col customWidth="1" min="5" max="8" width="5.86"/>
    <col customWidth="1" hidden="1" min="9" max="9" width="5.86"/>
    <col customWidth="1" min="10" max="11" width="5.86"/>
    <col customWidth="1" hidden="1" min="12" max="12" width="5.86"/>
    <col customWidth="1" min="13" max="15" width="5.86"/>
    <col customWidth="1" hidden="1" min="16" max="16" width="5.86"/>
    <col customWidth="1" min="17" max="19" width="5.86"/>
    <col customWidth="1" min="20" max="20" width="15.0"/>
    <col customWidth="1" min="21" max="21" width="23.29"/>
    <col customWidth="1" min="22" max="23" width="21.57"/>
    <col customWidth="1" min="25" max="27" width="12.29"/>
    <col customWidth="1" min="28" max="28" width="11.43"/>
  </cols>
  <sheetData>
    <row r="1">
      <c r="A1" s="135" t="s">
        <v>3</v>
      </c>
      <c r="B1" s="136" t="s">
        <v>4</v>
      </c>
      <c r="C1" s="136" t="s">
        <v>5</v>
      </c>
      <c r="D1" s="136" t="s">
        <v>6</v>
      </c>
      <c r="E1" s="137" t="s">
        <v>7</v>
      </c>
      <c r="F1" s="137" t="s">
        <v>8</v>
      </c>
      <c r="G1" s="137" t="s">
        <v>9</v>
      </c>
      <c r="H1" s="137" t="s">
        <v>10</v>
      </c>
      <c r="I1" s="137" t="s">
        <v>11</v>
      </c>
      <c r="J1" s="137" t="s">
        <v>12</v>
      </c>
      <c r="K1" s="137" t="s">
        <v>13</v>
      </c>
      <c r="L1" s="137" t="s">
        <v>14</v>
      </c>
      <c r="M1" s="137" t="s">
        <v>15</v>
      </c>
      <c r="N1" s="138" t="s">
        <v>16</v>
      </c>
      <c r="O1" s="138" t="s">
        <v>17</v>
      </c>
      <c r="P1" s="137" t="s">
        <v>18</v>
      </c>
      <c r="Q1" s="137" t="s">
        <v>19</v>
      </c>
      <c r="R1" s="137" t="s">
        <v>20</v>
      </c>
      <c r="S1" s="137" t="s">
        <v>21</v>
      </c>
      <c r="T1" s="139" t="s">
        <v>22</v>
      </c>
      <c r="U1" s="140" t="s">
        <v>541</v>
      </c>
      <c r="V1" s="140" t="s">
        <v>542</v>
      </c>
      <c r="W1" s="140" t="s">
        <v>1328</v>
      </c>
      <c r="X1" s="140" t="s">
        <v>544</v>
      </c>
      <c r="Y1" s="139" t="s">
        <v>546</v>
      </c>
      <c r="Z1" s="139" t="s">
        <v>547</v>
      </c>
      <c r="AA1" s="139" t="s">
        <v>548</v>
      </c>
      <c r="AB1" s="139" t="s">
        <v>549</v>
      </c>
    </row>
    <row r="2" ht="15.75" customHeight="1">
      <c r="A2" s="141">
        <v>338.0</v>
      </c>
      <c r="B2" s="142" t="s">
        <v>242</v>
      </c>
      <c r="C2" s="143" t="str">
        <f>HYPERLINK("https://azurlane.koumakan.jp/I-19","I-19")</f>
        <v>I-19</v>
      </c>
      <c r="D2" s="142" t="s">
        <v>32</v>
      </c>
      <c r="E2" s="165">
        <v>2218.0</v>
      </c>
      <c r="F2" s="145">
        <v>60.0</v>
      </c>
      <c r="G2" s="145">
        <v>556.0</v>
      </c>
      <c r="H2" s="145">
        <v>0.0</v>
      </c>
      <c r="I2" s="145">
        <v>0.0</v>
      </c>
      <c r="J2" s="145">
        <v>112.0</v>
      </c>
      <c r="K2" s="145">
        <v>46.0</v>
      </c>
      <c r="L2" s="145" t="s">
        <v>29</v>
      </c>
      <c r="M2" s="145">
        <v>18.0</v>
      </c>
      <c r="N2" s="145">
        <v>175.0</v>
      </c>
      <c r="O2" s="145">
        <v>19.0</v>
      </c>
      <c r="P2" s="145">
        <v>0.0</v>
      </c>
      <c r="Q2" s="145">
        <v>7.0</v>
      </c>
      <c r="R2" s="145">
        <v>200.0</v>
      </c>
      <c r="S2" s="145">
        <v>2.0</v>
      </c>
      <c r="T2" s="147" t="s">
        <v>143</v>
      </c>
      <c r="U2" s="164" t="s">
        <v>1769</v>
      </c>
      <c r="V2" s="164" t="s">
        <v>1770</v>
      </c>
      <c r="W2" s="149" t="s">
        <v>551</v>
      </c>
      <c r="X2" s="164" t="s">
        <v>1771</v>
      </c>
      <c r="Y2" s="147" t="s">
        <v>1772</v>
      </c>
      <c r="Z2" s="147" t="s">
        <v>1772</v>
      </c>
      <c r="AA2" s="147" t="s">
        <v>27</v>
      </c>
      <c r="AB2" s="147" t="s">
        <v>1773</v>
      </c>
    </row>
    <row r="3" ht="15.75" customHeight="1">
      <c r="A3" s="141">
        <v>339.0</v>
      </c>
      <c r="B3" s="142" t="s">
        <v>242</v>
      </c>
      <c r="C3" s="143" t="str">
        <f>HYPERLINK("https://azurlane.koumakan.jp/I-26","I-26")</f>
        <v>I-26</v>
      </c>
      <c r="D3" s="142" t="s">
        <v>28</v>
      </c>
      <c r="E3" s="165">
        <v>2118.0</v>
      </c>
      <c r="F3" s="145">
        <v>61.0</v>
      </c>
      <c r="G3" s="145">
        <v>526.0</v>
      </c>
      <c r="H3" s="145">
        <v>0.0</v>
      </c>
      <c r="I3" s="145">
        <v>0.0</v>
      </c>
      <c r="J3" s="145">
        <v>110.0</v>
      </c>
      <c r="K3" s="145">
        <v>46.0</v>
      </c>
      <c r="L3" s="145" t="s">
        <v>29</v>
      </c>
      <c r="M3" s="145">
        <v>18.0</v>
      </c>
      <c r="N3" s="145">
        <v>168.0</v>
      </c>
      <c r="O3" s="145">
        <v>26.0</v>
      </c>
      <c r="P3" s="145">
        <v>0.0</v>
      </c>
      <c r="Q3" s="145">
        <v>6.0</v>
      </c>
      <c r="R3" s="145">
        <v>218.0</v>
      </c>
      <c r="S3" s="145">
        <v>2.0</v>
      </c>
      <c r="T3" s="147" t="s">
        <v>143</v>
      </c>
      <c r="U3" s="164" t="s">
        <v>1774</v>
      </c>
      <c r="V3" s="148" t="s">
        <v>1775</v>
      </c>
      <c r="W3" s="149" t="s">
        <v>551</v>
      </c>
      <c r="X3" s="164" t="s">
        <v>1771</v>
      </c>
      <c r="Y3" s="147" t="s">
        <v>1772</v>
      </c>
      <c r="Z3" s="147" t="s">
        <v>1772</v>
      </c>
      <c r="AA3" s="147" t="s">
        <v>27</v>
      </c>
      <c r="AB3" s="147" t="s">
        <v>1776</v>
      </c>
    </row>
    <row r="4" ht="15.75" customHeight="1">
      <c r="A4" s="141">
        <v>340.0</v>
      </c>
      <c r="B4" s="142" t="s">
        <v>242</v>
      </c>
      <c r="C4" s="143" t="str">
        <f>HYPERLINK("https://azurlane.koumakan.jp/I-58","I-58")</f>
        <v>I-58</v>
      </c>
      <c r="D4" s="149" t="s">
        <v>28</v>
      </c>
      <c r="E4" s="145">
        <v>2131.0</v>
      </c>
      <c r="F4" s="145">
        <v>60.0</v>
      </c>
      <c r="G4" s="145">
        <v>509.0</v>
      </c>
      <c r="H4" s="145">
        <v>0.0</v>
      </c>
      <c r="I4" s="145">
        <v>0.0</v>
      </c>
      <c r="J4" s="145">
        <v>80.0</v>
      </c>
      <c r="K4" s="145">
        <v>38.0</v>
      </c>
      <c r="L4" s="145" t="s">
        <v>29</v>
      </c>
      <c r="M4" s="145">
        <v>14.0</v>
      </c>
      <c r="N4" s="145">
        <v>173.0</v>
      </c>
      <c r="O4" s="145">
        <v>58.0</v>
      </c>
      <c r="P4" s="145">
        <v>0.0</v>
      </c>
      <c r="Q4" s="145">
        <v>6.0</v>
      </c>
      <c r="R4" s="145">
        <v>268.0</v>
      </c>
      <c r="S4" s="145">
        <v>2.0</v>
      </c>
      <c r="T4" s="147" t="s">
        <v>143</v>
      </c>
      <c r="U4" s="164" t="s">
        <v>1777</v>
      </c>
      <c r="V4" s="149" t="s">
        <v>551</v>
      </c>
      <c r="W4" s="149" t="s">
        <v>551</v>
      </c>
      <c r="X4" s="164" t="s">
        <v>1771</v>
      </c>
      <c r="Y4" s="147" t="s">
        <v>1772</v>
      </c>
      <c r="Z4" s="147" t="s">
        <v>1772</v>
      </c>
      <c r="AA4" s="147" t="s">
        <v>27</v>
      </c>
      <c r="AB4" s="147" t="s">
        <v>1778</v>
      </c>
    </row>
    <row r="5" ht="15.75" customHeight="1">
      <c r="A5" s="141">
        <v>341.0</v>
      </c>
      <c r="B5" s="142" t="s">
        <v>242</v>
      </c>
      <c r="C5" s="143" t="str">
        <f>HYPERLINK("https://azurlane.koumakan.jp/U-81","U-81")</f>
        <v>U-81</v>
      </c>
      <c r="D5" s="142" t="s">
        <v>32</v>
      </c>
      <c r="E5" s="145">
        <v>1341.0</v>
      </c>
      <c r="F5" s="145">
        <v>51.0</v>
      </c>
      <c r="G5" s="168">
        <v>562.0</v>
      </c>
      <c r="H5" s="145">
        <v>0.0</v>
      </c>
      <c r="I5" s="145">
        <v>0.0</v>
      </c>
      <c r="J5" s="145">
        <v>110.0</v>
      </c>
      <c r="K5" s="145">
        <v>38.0</v>
      </c>
      <c r="L5" s="145" t="s">
        <v>29</v>
      </c>
      <c r="M5" s="145">
        <v>14.0</v>
      </c>
      <c r="N5" s="145">
        <v>179.0</v>
      </c>
      <c r="O5" s="145">
        <v>23.0</v>
      </c>
      <c r="P5" s="145">
        <v>0.0</v>
      </c>
      <c r="Q5" s="145">
        <v>7.0</v>
      </c>
      <c r="R5" s="145">
        <v>188.0</v>
      </c>
      <c r="S5" s="145">
        <v>2.0</v>
      </c>
      <c r="T5" s="147" t="s">
        <v>193</v>
      </c>
      <c r="U5" s="164" t="s">
        <v>1779</v>
      </c>
      <c r="V5" s="164" t="s">
        <v>1780</v>
      </c>
      <c r="W5" s="149" t="s">
        <v>551</v>
      </c>
      <c r="X5" s="164" t="s">
        <v>1771</v>
      </c>
      <c r="Y5" s="147" t="s">
        <v>1772</v>
      </c>
      <c r="Z5" s="147" t="s">
        <v>1772</v>
      </c>
      <c r="AA5" s="147" t="s">
        <v>27</v>
      </c>
      <c r="AB5" s="147" t="s">
        <v>1781</v>
      </c>
    </row>
    <row r="6" ht="15.75" customHeight="1">
      <c r="A6" s="141">
        <v>342.0</v>
      </c>
      <c r="B6" s="142" t="s">
        <v>242</v>
      </c>
      <c r="C6" s="143" t="str">
        <f>HYPERLINK("https://azurlane.koumakan.jp/Dace","Dace")</f>
        <v>Dace</v>
      </c>
      <c r="D6" s="142" t="s">
        <v>28</v>
      </c>
      <c r="E6" s="145">
        <v>1733.0</v>
      </c>
      <c r="F6" s="145">
        <v>72.0</v>
      </c>
      <c r="G6" s="145">
        <v>509.0</v>
      </c>
      <c r="H6" s="145">
        <v>0.0</v>
      </c>
      <c r="I6" s="145">
        <v>0.0</v>
      </c>
      <c r="J6" s="145">
        <v>91.0</v>
      </c>
      <c r="K6" s="145">
        <v>43.0</v>
      </c>
      <c r="L6" s="145" t="s">
        <v>29</v>
      </c>
      <c r="M6" s="145">
        <v>16.0</v>
      </c>
      <c r="N6" s="145">
        <v>183.0</v>
      </c>
      <c r="O6" s="145">
        <v>68.0</v>
      </c>
      <c r="P6" s="145">
        <v>0.0</v>
      </c>
      <c r="Q6" s="145">
        <v>6.0</v>
      </c>
      <c r="R6" s="145">
        <v>243.0</v>
      </c>
      <c r="S6" s="145">
        <v>2.0</v>
      </c>
      <c r="T6" s="147" t="s">
        <v>37</v>
      </c>
      <c r="U6" s="164" t="s">
        <v>1782</v>
      </c>
      <c r="V6" s="148" t="s">
        <v>1775</v>
      </c>
      <c r="W6" s="149" t="s">
        <v>551</v>
      </c>
      <c r="X6" s="164" t="s">
        <v>1771</v>
      </c>
      <c r="Y6" s="147" t="s">
        <v>1772</v>
      </c>
      <c r="Z6" s="147" t="s">
        <v>1772</v>
      </c>
      <c r="AA6" s="147" t="s">
        <v>27</v>
      </c>
      <c r="AB6" s="147" t="s">
        <v>1783</v>
      </c>
    </row>
    <row r="7" ht="15.75" customHeight="1">
      <c r="A7" s="141">
        <v>343.0</v>
      </c>
      <c r="B7" s="142" t="s">
        <v>242</v>
      </c>
      <c r="C7" s="143" t="str">
        <f>HYPERLINK("https://azurlane.koumakan.jp/U-47","U-47")</f>
        <v>U-47</v>
      </c>
      <c r="D7" s="142" t="s">
        <v>32</v>
      </c>
      <c r="E7" s="145">
        <v>1328.0</v>
      </c>
      <c r="F7" s="145">
        <v>49.0</v>
      </c>
      <c r="G7" s="145">
        <v>537.0</v>
      </c>
      <c r="H7" s="145">
        <v>0.0</v>
      </c>
      <c r="I7" s="145">
        <v>0.0</v>
      </c>
      <c r="J7" s="145">
        <v>112.0</v>
      </c>
      <c r="K7" s="145">
        <v>38.0</v>
      </c>
      <c r="L7" s="145" t="s">
        <v>29</v>
      </c>
      <c r="M7" s="145">
        <v>14.0</v>
      </c>
      <c r="N7" s="145">
        <v>182.0</v>
      </c>
      <c r="O7" s="145">
        <v>32.0</v>
      </c>
      <c r="P7" s="145">
        <v>0.0</v>
      </c>
      <c r="Q7" s="145">
        <v>7.0</v>
      </c>
      <c r="R7" s="145">
        <v>193.0</v>
      </c>
      <c r="S7" s="145">
        <v>2.0</v>
      </c>
      <c r="T7" s="147" t="s">
        <v>193</v>
      </c>
      <c r="U7" s="164" t="s">
        <v>1784</v>
      </c>
      <c r="V7" s="148" t="s">
        <v>1785</v>
      </c>
      <c r="W7" s="149" t="s">
        <v>551</v>
      </c>
      <c r="X7" s="164" t="s">
        <v>1771</v>
      </c>
      <c r="Y7" s="147" t="s">
        <v>1772</v>
      </c>
      <c r="Z7" s="147" t="s">
        <v>1772</v>
      </c>
      <c r="AA7" s="147" t="s">
        <v>27</v>
      </c>
      <c r="AB7" s="147" t="s">
        <v>1786</v>
      </c>
    </row>
    <row r="8" ht="15.75" customHeight="1">
      <c r="A8" s="141">
        <v>344.0</v>
      </c>
      <c r="B8" s="142" t="s">
        <v>242</v>
      </c>
      <c r="C8" s="143" t="str">
        <f>HYPERLINK("https://azurlane.koumakan.jp/U-557","U-557")</f>
        <v>U-557</v>
      </c>
      <c r="D8" s="142" t="s">
        <v>28</v>
      </c>
      <c r="E8" s="145">
        <v>1292.0</v>
      </c>
      <c r="F8" s="145">
        <v>44.0</v>
      </c>
      <c r="G8" s="145">
        <v>505.0</v>
      </c>
      <c r="H8" s="145">
        <v>0.0</v>
      </c>
      <c r="I8" s="145">
        <v>0.0</v>
      </c>
      <c r="J8" s="145">
        <v>85.0</v>
      </c>
      <c r="K8" s="145">
        <v>38.0</v>
      </c>
      <c r="L8" s="145" t="s">
        <v>29</v>
      </c>
      <c r="M8" s="145">
        <v>14.0</v>
      </c>
      <c r="N8" s="145">
        <v>171.0</v>
      </c>
      <c r="O8" s="145">
        <v>18.0</v>
      </c>
      <c r="P8" s="145">
        <v>0.0</v>
      </c>
      <c r="Q8" s="145">
        <v>6.0</v>
      </c>
      <c r="R8" s="145">
        <v>188.0</v>
      </c>
      <c r="S8" s="145">
        <v>2.0</v>
      </c>
      <c r="T8" s="147" t="s">
        <v>193</v>
      </c>
      <c r="U8" s="164" t="s">
        <v>1787</v>
      </c>
      <c r="V8" s="164" t="s">
        <v>1788</v>
      </c>
      <c r="W8" s="149" t="s">
        <v>551</v>
      </c>
      <c r="X8" s="164" t="s">
        <v>1771</v>
      </c>
      <c r="Y8" s="147" t="s">
        <v>1772</v>
      </c>
      <c r="Z8" s="147" t="s">
        <v>1772</v>
      </c>
      <c r="AA8" s="147" t="s">
        <v>27</v>
      </c>
      <c r="AB8" s="147" t="s">
        <v>1773</v>
      </c>
    </row>
    <row r="9" ht="15.75" customHeight="1">
      <c r="A9" s="141">
        <v>350.0</v>
      </c>
      <c r="B9" s="142" t="s">
        <v>242</v>
      </c>
      <c r="C9" s="143" t="str">
        <f>HYPERLINK("https://azurlane.koumakan.jp/Surcouf","Surcouf")</f>
        <v>Surcouf</v>
      </c>
      <c r="D9" s="142" t="s">
        <v>28</v>
      </c>
      <c r="E9" s="168">
        <v>2887.0</v>
      </c>
      <c r="F9" s="145">
        <v>141.0</v>
      </c>
      <c r="G9" s="145">
        <v>515.0</v>
      </c>
      <c r="H9" s="145">
        <v>0.0</v>
      </c>
      <c r="I9" s="145">
        <v>0.0</v>
      </c>
      <c r="J9" s="145">
        <v>77.0</v>
      </c>
      <c r="K9" s="145">
        <v>23.0</v>
      </c>
      <c r="L9" s="145" t="s">
        <v>29</v>
      </c>
      <c r="M9" s="145">
        <v>14.0</v>
      </c>
      <c r="N9" s="145">
        <v>171.0</v>
      </c>
      <c r="O9" s="145">
        <v>60.0</v>
      </c>
      <c r="P9" s="145">
        <v>0.0</v>
      </c>
      <c r="Q9" s="145">
        <v>6.0</v>
      </c>
      <c r="R9" s="145">
        <v>180.0</v>
      </c>
      <c r="S9" s="145">
        <v>2.0</v>
      </c>
      <c r="T9" s="147" t="s">
        <v>243</v>
      </c>
      <c r="U9" s="148" t="s">
        <v>1789</v>
      </c>
      <c r="V9" s="161" t="s">
        <v>1790</v>
      </c>
      <c r="W9" s="149" t="s">
        <v>551</v>
      </c>
      <c r="X9" s="164" t="s">
        <v>1771</v>
      </c>
      <c r="Y9" s="147" t="s">
        <v>1772</v>
      </c>
      <c r="Z9" s="147" t="s">
        <v>1772</v>
      </c>
      <c r="AA9" s="147" t="s">
        <v>66</v>
      </c>
      <c r="AB9" s="147" t="s">
        <v>1791</v>
      </c>
    </row>
    <row r="10">
      <c r="A10" s="141">
        <v>358.0</v>
      </c>
      <c r="B10" s="142" t="s">
        <v>242</v>
      </c>
      <c r="C10" s="143" t="str">
        <f>HYPERLINK("https://azurlane.koumakan.jp/Albacore","Albacore")</f>
        <v>Albacore</v>
      </c>
      <c r="D10" s="142" t="s">
        <v>32</v>
      </c>
      <c r="E10" s="145">
        <v>1971.0</v>
      </c>
      <c r="F10" s="145">
        <v>61.0</v>
      </c>
      <c r="G10" s="145">
        <v>532.0</v>
      </c>
      <c r="H10" s="145">
        <v>0.0</v>
      </c>
      <c r="I10" s="145">
        <v>0.0</v>
      </c>
      <c r="J10" s="145">
        <v>96.0</v>
      </c>
      <c r="K10" s="145">
        <v>43.0</v>
      </c>
      <c r="L10" s="145" t="s">
        <v>29</v>
      </c>
      <c r="M10" s="145">
        <v>16.0</v>
      </c>
      <c r="N10" s="145">
        <v>198.0</v>
      </c>
      <c r="O10" s="145">
        <v>79.0</v>
      </c>
      <c r="P10" s="145">
        <v>0.0</v>
      </c>
      <c r="Q10" s="145">
        <v>7.0</v>
      </c>
      <c r="R10" s="145">
        <v>243.0</v>
      </c>
      <c r="S10" s="145">
        <v>2.0</v>
      </c>
      <c r="T10" s="147" t="s">
        <v>37</v>
      </c>
      <c r="U10" s="164" t="s">
        <v>1792</v>
      </c>
      <c r="V10" s="164" t="s">
        <v>1793</v>
      </c>
      <c r="W10" s="149" t="s">
        <v>551</v>
      </c>
      <c r="X10" s="164" t="s">
        <v>1771</v>
      </c>
      <c r="Y10" s="147" t="s">
        <v>1772</v>
      </c>
      <c r="Z10" s="147" t="s">
        <v>1772</v>
      </c>
      <c r="AA10" s="147" t="s">
        <v>27</v>
      </c>
      <c r="AB10" s="147" t="s">
        <v>1794</v>
      </c>
    </row>
    <row r="11">
      <c r="A11" s="156">
        <v>381.0</v>
      </c>
      <c r="B11" s="149" t="s">
        <v>260</v>
      </c>
      <c r="C11" s="157" t="str">
        <f>HYPERLINK("https://azurlane.koumakan.jp/I-13","I-13")</f>
        <v>I-13</v>
      </c>
      <c r="D11" s="142" t="s">
        <v>32</v>
      </c>
      <c r="E11" s="145">
        <v>2722.0</v>
      </c>
      <c r="F11" s="145">
        <v>50.0</v>
      </c>
      <c r="G11" s="145">
        <v>520.0</v>
      </c>
      <c r="H11" s="145">
        <v>256.0</v>
      </c>
      <c r="I11" s="145">
        <v>0.0</v>
      </c>
      <c r="J11" s="145">
        <v>110.0</v>
      </c>
      <c r="K11" s="145">
        <v>38.0</v>
      </c>
      <c r="L11" s="145" t="s">
        <v>29</v>
      </c>
      <c r="M11" s="145">
        <v>13.0</v>
      </c>
      <c r="N11" s="145">
        <v>176.0</v>
      </c>
      <c r="O11" s="145">
        <v>20.0</v>
      </c>
      <c r="P11" s="145">
        <v>0.0</v>
      </c>
      <c r="Q11" s="145">
        <v>7.0</v>
      </c>
      <c r="R11" s="145">
        <v>198.0</v>
      </c>
      <c r="S11" s="145">
        <v>2.0</v>
      </c>
      <c r="T11" s="147" t="s">
        <v>143</v>
      </c>
      <c r="U11" s="148" t="s">
        <v>1795</v>
      </c>
      <c r="V11" s="148" t="s">
        <v>1775</v>
      </c>
      <c r="W11" s="149" t="s">
        <v>551</v>
      </c>
      <c r="X11" s="164" t="s">
        <v>1771</v>
      </c>
      <c r="Y11" s="147" t="s">
        <v>1772</v>
      </c>
      <c r="Z11" s="147" t="s">
        <v>1772</v>
      </c>
      <c r="AA11" s="147" t="s">
        <v>1369</v>
      </c>
      <c r="AB11" s="147" t="s">
        <v>1796</v>
      </c>
    </row>
    <row r="12">
      <c r="A12" s="156">
        <v>386.0</v>
      </c>
      <c r="B12" s="149" t="s">
        <v>242</v>
      </c>
      <c r="C12" s="157" t="str">
        <f>HYPERLINK("https://azurlane.koumakan.jp/U-556","U-556")</f>
        <v>U-556</v>
      </c>
      <c r="D12" s="149" t="s">
        <v>28</v>
      </c>
      <c r="E12" s="149">
        <v>1292.0</v>
      </c>
      <c r="F12" s="149">
        <v>39.0</v>
      </c>
      <c r="G12" s="149">
        <v>505.0</v>
      </c>
      <c r="H12" s="149">
        <v>0.0</v>
      </c>
      <c r="I12" s="149">
        <v>0.0</v>
      </c>
      <c r="J12" s="149">
        <v>85.0</v>
      </c>
      <c r="K12" s="149">
        <v>38.0</v>
      </c>
      <c r="L12" s="149" t="s">
        <v>29</v>
      </c>
      <c r="M12" s="149">
        <v>14.0</v>
      </c>
      <c r="N12" s="149">
        <v>182.0</v>
      </c>
      <c r="O12" s="149">
        <v>45.0</v>
      </c>
      <c r="P12" s="149">
        <v>0.0</v>
      </c>
      <c r="Q12" s="149">
        <v>6.0</v>
      </c>
      <c r="R12" s="149">
        <v>188.0</v>
      </c>
      <c r="S12" s="149">
        <v>2.0</v>
      </c>
      <c r="T12" s="147" t="s">
        <v>193</v>
      </c>
      <c r="U12" s="164" t="s">
        <v>1797</v>
      </c>
      <c r="V12" s="164" t="s">
        <v>1788</v>
      </c>
      <c r="W12" s="149" t="s">
        <v>551</v>
      </c>
      <c r="X12" s="164" t="s">
        <v>1771</v>
      </c>
      <c r="Y12" s="147" t="s">
        <v>1772</v>
      </c>
      <c r="Z12" s="147" t="s">
        <v>1772</v>
      </c>
      <c r="AA12" s="147" t="s">
        <v>27</v>
      </c>
      <c r="AB12" s="147" t="s">
        <v>1798</v>
      </c>
    </row>
    <row r="13">
      <c r="A13" s="156">
        <v>387.0</v>
      </c>
      <c r="B13" s="159" t="s">
        <v>242</v>
      </c>
      <c r="C13" s="189" t="str">
        <f>HYPERLINK("https://azurlane.koumakan.jp/U-73","U-73")</f>
        <v>U-73</v>
      </c>
      <c r="D13" s="159" t="s">
        <v>28</v>
      </c>
      <c r="E13" s="159">
        <v>1281.0</v>
      </c>
      <c r="F13" s="159">
        <v>46.0</v>
      </c>
      <c r="G13" s="159">
        <v>529.0</v>
      </c>
      <c r="H13" s="159">
        <v>0.0</v>
      </c>
      <c r="I13" s="159">
        <v>0.0</v>
      </c>
      <c r="J13" s="159">
        <v>85.0</v>
      </c>
      <c r="K13" s="159">
        <v>38.0</v>
      </c>
      <c r="L13" s="159" t="s">
        <v>29</v>
      </c>
      <c r="M13" s="159">
        <v>14.0</v>
      </c>
      <c r="N13" s="159">
        <v>171.0</v>
      </c>
      <c r="O13" s="159">
        <v>35.0</v>
      </c>
      <c r="P13" s="159">
        <v>0.0</v>
      </c>
      <c r="Q13" s="159">
        <v>6.0</v>
      </c>
      <c r="R13" s="159">
        <v>188.0</v>
      </c>
      <c r="S13" s="159">
        <v>2.0</v>
      </c>
      <c r="T13" s="147" t="s">
        <v>193</v>
      </c>
      <c r="U13" s="148" t="s">
        <v>577</v>
      </c>
      <c r="V13" s="164" t="s">
        <v>1788</v>
      </c>
      <c r="W13" s="149" t="s">
        <v>551</v>
      </c>
      <c r="X13" s="164" t="s">
        <v>1771</v>
      </c>
      <c r="Y13" s="147" t="s">
        <v>1772</v>
      </c>
      <c r="Z13" s="147" t="s">
        <v>1772</v>
      </c>
      <c r="AA13" s="147" t="s">
        <v>27</v>
      </c>
      <c r="AB13" s="147" t="s">
        <v>1798</v>
      </c>
    </row>
    <row r="14">
      <c r="A14" s="182">
        <v>396.0</v>
      </c>
      <c r="B14" s="196" t="s">
        <v>242</v>
      </c>
      <c r="C14" s="197" t="str">
        <f>HYPERLINK("https://azurlane.koumakan.jp/I-25","I-25")</f>
        <v>I-25</v>
      </c>
      <c r="D14" s="191" t="s">
        <v>28</v>
      </c>
      <c r="E14" s="191">
        <v>1993.0</v>
      </c>
      <c r="F14" s="191">
        <v>66.0</v>
      </c>
      <c r="G14" s="191">
        <v>520.0</v>
      </c>
      <c r="H14" s="191">
        <v>0.0</v>
      </c>
      <c r="I14" s="191">
        <v>0.0</v>
      </c>
      <c r="J14" s="191">
        <v>71.0</v>
      </c>
      <c r="K14" s="191">
        <v>46.0</v>
      </c>
      <c r="L14" s="191" t="s">
        <v>29</v>
      </c>
      <c r="M14" s="191">
        <v>18.0</v>
      </c>
      <c r="N14" s="191">
        <v>182.0</v>
      </c>
      <c r="O14" s="191">
        <v>25.0</v>
      </c>
      <c r="P14" s="191">
        <v>0.0</v>
      </c>
      <c r="Q14" s="191">
        <v>6.0</v>
      </c>
      <c r="R14" s="191">
        <v>218.0</v>
      </c>
      <c r="S14" s="191">
        <v>2.0</v>
      </c>
      <c r="T14" s="147" t="s">
        <v>143</v>
      </c>
      <c r="U14" s="164" t="s">
        <v>1799</v>
      </c>
      <c r="V14" s="164" t="s">
        <v>1800</v>
      </c>
      <c r="W14" s="149" t="s">
        <v>551</v>
      </c>
      <c r="X14" s="164" t="s">
        <v>1771</v>
      </c>
      <c r="Y14" s="147" t="s">
        <v>1772</v>
      </c>
      <c r="Z14" s="147" t="s">
        <v>1772</v>
      </c>
      <c r="AA14" s="147" t="s">
        <v>27</v>
      </c>
      <c r="AB14" s="147" t="s">
        <v>1776</v>
      </c>
    </row>
    <row r="15">
      <c r="A15" s="182">
        <v>397.0</v>
      </c>
      <c r="B15" s="196" t="s">
        <v>242</v>
      </c>
      <c r="C15" s="197" t="str">
        <f>HYPERLINK("https://azurlane.koumakan.jp/I-56","I-56")</f>
        <v>I-56</v>
      </c>
      <c r="D15" s="191" t="s">
        <v>28</v>
      </c>
      <c r="E15" s="191">
        <v>2131.0</v>
      </c>
      <c r="F15" s="191">
        <v>60.0</v>
      </c>
      <c r="G15" s="191">
        <v>508.0</v>
      </c>
      <c r="H15" s="191">
        <v>0.0</v>
      </c>
      <c r="I15" s="191">
        <v>0.0</v>
      </c>
      <c r="J15" s="191">
        <v>63.0</v>
      </c>
      <c r="K15" s="191">
        <v>38.0</v>
      </c>
      <c r="L15" s="191" t="s">
        <v>29</v>
      </c>
      <c r="M15" s="191">
        <v>14.0</v>
      </c>
      <c r="N15" s="191">
        <v>170.0</v>
      </c>
      <c r="O15" s="191">
        <v>46.0</v>
      </c>
      <c r="P15" s="191">
        <v>0.0</v>
      </c>
      <c r="Q15" s="191">
        <v>6.0</v>
      </c>
      <c r="R15" s="191">
        <v>248.0</v>
      </c>
      <c r="S15" s="191">
        <v>2.0</v>
      </c>
      <c r="T15" s="147" t="s">
        <v>143</v>
      </c>
      <c r="U15" s="164" t="s">
        <v>1770</v>
      </c>
      <c r="V15" s="148" t="s">
        <v>1801</v>
      </c>
      <c r="W15" s="149" t="s">
        <v>551</v>
      </c>
      <c r="X15" s="164" t="s">
        <v>1771</v>
      </c>
      <c r="Y15" s="147" t="s">
        <v>1772</v>
      </c>
      <c r="Z15" s="147" t="s">
        <v>1772</v>
      </c>
      <c r="AA15" s="147" t="s">
        <v>27</v>
      </c>
      <c r="AB15" s="147" t="s">
        <v>1802</v>
      </c>
    </row>
    <row r="16">
      <c r="A16" s="182">
        <v>398.0</v>
      </c>
      <c r="B16" s="196" t="s">
        <v>242</v>
      </c>
      <c r="C16" s="197" t="str">
        <f>HYPERLINK("https://azurlane.koumakan.jp/I-168","I-168")</f>
        <v>I-168</v>
      </c>
      <c r="D16" s="191" t="s">
        <v>32</v>
      </c>
      <c r="E16" s="191">
        <v>2041.0</v>
      </c>
      <c r="F16" s="191">
        <v>66.0</v>
      </c>
      <c r="G16" s="191">
        <v>546.0</v>
      </c>
      <c r="H16" s="191">
        <v>0.0</v>
      </c>
      <c r="I16" s="191">
        <v>0.0</v>
      </c>
      <c r="J16" s="191">
        <v>117.0</v>
      </c>
      <c r="K16" s="191">
        <v>44.0</v>
      </c>
      <c r="L16" s="191" t="s">
        <v>29</v>
      </c>
      <c r="M16" s="191">
        <v>18.0</v>
      </c>
      <c r="N16" s="191">
        <v>177.0</v>
      </c>
      <c r="O16" s="191">
        <v>22.0</v>
      </c>
      <c r="P16" s="191">
        <v>0.0</v>
      </c>
      <c r="Q16" s="191">
        <v>7.0</v>
      </c>
      <c r="R16" s="191">
        <v>195.0</v>
      </c>
      <c r="S16" s="191">
        <v>2.0</v>
      </c>
      <c r="T16" s="147" t="s">
        <v>143</v>
      </c>
      <c r="U16" s="164" t="s">
        <v>1803</v>
      </c>
      <c r="V16" s="164" t="s">
        <v>1770</v>
      </c>
      <c r="W16" s="149" t="s">
        <v>551</v>
      </c>
      <c r="X16" s="164" t="s">
        <v>1771</v>
      </c>
      <c r="Y16" s="147" t="s">
        <v>1772</v>
      </c>
      <c r="Z16" s="147" t="s">
        <v>1772</v>
      </c>
      <c r="AA16" s="147" t="s">
        <v>27</v>
      </c>
      <c r="AB16" s="147" t="s">
        <v>1804</v>
      </c>
    </row>
    <row r="17">
      <c r="A17" s="182">
        <v>399.0</v>
      </c>
      <c r="B17" s="196" t="s">
        <v>242</v>
      </c>
      <c r="C17" s="197" t="str">
        <f>HYPERLINK("https://azurlane.koumakan.jp/U-101","U-101")</f>
        <v>U-101</v>
      </c>
      <c r="D17" s="191" t="s">
        <v>32</v>
      </c>
      <c r="E17" s="191">
        <v>1328.0</v>
      </c>
      <c r="F17" s="191">
        <v>48.0</v>
      </c>
      <c r="G17" s="191">
        <v>537.0</v>
      </c>
      <c r="H17" s="191">
        <v>0.0</v>
      </c>
      <c r="I17" s="191">
        <v>0.0</v>
      </c>
      <c r="J17" s="191">
        <v>112.0</v>
      </c>
      <c r="K17" s="191">
        <v>38.0</v>
      </c>
      <c r="L17" s="191" t="s">
        <v>29</v>
      </c>
      <c r="M17" s="191">
        <v>14.0</v>
      </c>
      <c r="N17" s="191">
        <v>180.0</v>
      </c>
      <c r="O17" s="191">
        <v>68.0</v>
      </c>
      <c r="P17" s="191">
        <v>0.0</v>
      </c>
      <c r="Q17" s="191">
        <v>7.0</v>
      </c>
      <c r="R17" s="191">
        <v>190.0</v>
      </c>
      <c r="S17" s="191">
        <v>2.0</v>
      </c>
      <c r="T17" s="147" t="s">
        <v>193</v>
      </c>
      <c r="U17" s="148" t="s">
        <v>1805</v>
      </c>
      <c r="V17" s="161" t="s">
        <v>1806</v>
      </c>
      <c r="W17" s="149" t="s">
        <v>551</v>
      </c>
      <c r="X17" s="164" t="s">
        <v>1771</v>
      </c>
      <c r="Y17" s="147" t="s">
        <v>1772</v>
      </c>
      <c r="Z17" s="147" t="s">
        <v>1772</v>
      </c>
      <c r="AA17" s="147" t="s">
        <v>27</v>
      </c>
      <c r="AB17" s="147" t="s">
        <v>1786</v>
      </c>
    </row>
    <row r="18">
      <c r="A18" s="182">
        <v>400.0</v>
      </c>
      <c r="B18" s="183" t="s">
        <v>242</v>
      </c>
      <c r="C18" s="152" t="str">
        <f>HYPERLINK("https://azurlane.koumakan.jp/U-522","U-522")</f>
        <v>U-522</v>
      </c>
      <c r="D18" s="170" t="s">
        <v>28</v>
      </c>
      <c r="E18" s="170">
        <v>1533.0</v>
      </c>
      <c r="F18" s="170">
        <v>44.0</v>
      </c>
      <c r="G18" s="170">
        <v>511.0</v>
      </c>
      <c r="H18" s="170">
        <v>0.0</v>
      </c>
      <c r="I18" s="170">
        <v>0.0</v>
      </c>
      <c r="J18" s="170">
        <v>85.0</v>
      </c>
      <c r="K18" s="170">
        <v>38.0</v>
      </c>
      <c r="L18" s="170" t="s">
        <v>29</v>
      </c>
      <c r="M18" s="170">
        <v>14.0</v>
      </c>
      <c r="N18" s="170">
        <v>182.0</v>
      </c>
      <c r="O18" s="170">
        <v>22.0</v>
      </c>
      <c r="P18" s="170">
        <v>0.0</v>
      </c>
      <c r="Q18" s="170">
        <v>6.0</v>
      </c>
      <c r="R18" s="170">
        <v>228.0</v>
      </c>
      <c r="S18" s="170">
        <v>2.0</v>
      </c>
      <c r="T18" s="147" t="s">
        <v>193</v>
      </c>
      <c r="U18" s="148" t="s">
        <v>1807</v>
      </c>
      <c r="V18" s="164" t="s">
        <v>1788</v>
      </c>
      <c r="W18" s="149" t="s">
        <v>551</v>
      </c>
      <c r="X18" s="164" t="s">
        <v>1771</v>
      </c>
      <c r="Y18" s="147" t="s">
        <v>1772</v>
      </c>
      <c r="Z18" s="147" t="s">
        <v>1772</v>
      </c>
      <c r="AA18" s="147" t="s">
        <v>27</v>
      </c>
      <c r="AB18" s="147" t="s">
        <v>1798</v>
      </c>
    </row>
    <row r="19">
      <c r="A19" s="182">
        <v>402.0</v>
      </c>
      <c r="B19" s="196" t="s">
        <v>242</v>
      </c>
      <c r="C19" s="197" t="str">
        <f>HYPERLINK("https://azurlane.koumakan.jp/Cavalla","Cavalla")</f>
        <v>Cavalla</v>
      </c>
      <c r="D19" s="191" t="s">
        <v>32</v>
      </c>
      <c r="E19" s="191">
        <v>1945.0</v>
      </c>
      <c r="F19" s="191">
        <v>66.0</v>
      </c>
      <c r="G19" s="191">
        <v>531.0</v>
      </c>
      <c r="H19" s="191">
        <v>0.0</v>
      </c>
      <c r="I19" s="191">
        <v>0.0</v>
      </c>
      <c r="J19" s="191">
        <v>94.0</v>
      </c>
      <c r="K19" s="191">
        <v>43.0</v>
      </c>
      <c r="L19" s="191" t="s">
        <v>29</v>
      </c>
      <c r="M19" s="191">
        <v>16.0</v>
      </c>
      <c r="N19" s="191">
        <v>197.0</v>
      </c>
      <c r="O19" s="191">
        <v>78.0</v>
      </c>
      <c r="P19" s="191">
        <v>0.0</v>
      </c>
      <c r="Q19" s="191">
        <v>7.0</v>
      </c>
      <c r="R19" s="191">
        <v>243.0</v>
      </c>
      <c r="S19" s="191">
        <v>2.0</v>
      </c>
      <c r="T19" s="160" t="s">
        <v>37</v>
      </c>
      <c r="U19" s="362" t="s">
        <v>1808</v>
      </c>
      <c r="V19" s="164" t="s">
        <v>1809</v>
      </c>
      <c r="W19" s="149" t="s">
        <v>551</v>
      </c>
      <c r="X19" s="164" t="s">
        <v>1771</v>
      </c>
      <c r="Y19" s="147" t="s">
        <v>1772</v>
      </c>
      <c r="Z19" s="147" t="s">
        <v>1772</v>
      </c>
      <c r="AA19" s="147" t="s">
        <v>27</v>
      </c>
      <c r="AB19" s="147" t="s">
        <v>1786</v>
      </c>
    </row>
    <row r="20">
      <c r="A20" s="182">
        <v>416.0</v>
      </c>
      <c r="B20" s="196" t="s">
        <v>242</v>
      </c>
      <c r="C20" s="197" t="str">
        <f>HYPERLINK("https://azurlane.koumakan.jp/U-110","U-110")</f>
        <v>U-110</v>
      </c>
      <c r="D20" s="191" t="s">
        <v>28</v>
      </c>
      <c r="E20" s="191">
        <v>1498.0</v>
      </c>
      <c r="F20" s="191">
        <v>48.0</v>
      </c>
      <c r="G20" s="191">
        <v>505.0</v>
      </c>
      <c r="H20" s="191">
        <v>0.0</v>
      </c>
      <c r="I20" s="191">
        <v>0.0</v>
      </c>
      <c r="J20" s="191">
        <v>83.0</v>
      </c>
      <c r="K20" s="191">
        <v>38.0</v>
      </c>
      <c r="L20" s="191" t="s">
        <v>29</v>
      </c>
      <c r="M20" s="191">
        <v>14.0</v>
      </c>
      <c r="N20" s="191">
        <v>182.0</v>
      </c>
      <c r="O20" s="191">
        <v>28.0</v>
      </c>
      <c r="P20" s="191">
        <v>0.0</v>
      </c>
      <c r="Q20" s="191">
        <v>6.0</v>
      </c>
      <c r="R20" s="191">
        <v>208.0</v>
      </c>
      <c r="S20" s="191">
        <v>2.0</v>
      </c>
      <c r="T20" s="191" t="s">
        <v>193</v>
      </c>
      <c r="U20" s="148" t="s">
        <v>1810</v>
      </c>
      <c r="V20" s="164" t="s">
        <v>1788</v>
      </c>
      <c r="W20" s="149" t="s">
        <v>551</v>
      </c>
      <c r="X20" s="164" t="s">
        <v>1771</v>
      </c>
      <c r="Y20" s="147" t="s">
        <v>1772</v>
      </c>
      <c r="Z20" s="147" t="s">
        <v>1772</v>
      </c>
      <c r="AA20" s="147" t="s">
        <v>27</v>
      </c>
      <c r="AB20" s="147" t="s">
        <v>1798</v>
      </c>
    </row>
    <row r="21">
      <c r="A21" s="156">
        <v>446.0</v>
      </c>
      <c r="B21" s="259" t="s">
        <v>242</v>
      </c>
      <c r="C21" s="152" t="str">
        <f>HYPERLINK("https://azurlane.koumakan.jp/Bluegill","Bluegill")</f>
        <v>Bluegill</v>
      </c>
      <c r="D21" s="142" t="s">
        <v>28</v>
      </c>
      <c r="E21" s="259">
        <v>1733.0</v>
      </c>
      <c r="F21" s="259">
        <v>72.0</v>
      </c>
      <c r="G21" s="259">
        <v>505.0</v>
      </c>
      <c r="H21" s="259">
        <v>0.0</v>
      </c>
      <c r="I21" s="259">
        <v>0.0</v>
      </c>
      <c r="J21" s="259">
        <v>88.0</v>
      </c>
      <c r="K21" s="259">
        <v>43.0</v>
      </c>
      <c r="L21" s="259" t="s">
        <v>29</v>
      </c>
      <c r="M21" s="259">
        <v>16.0</v>
      </c>
      <c r="N21" s="154">
        <v>180.0</v>
      </c>
      <c r="O21" s="175">
        <v>65.0</v>
      </c>
      <c r="P21" s="259">
        <v>0.0</v>
      </c>
      <c r="Q21" s="149">
        <v>6.0</v>
      </c>
      <c r="R21" s="259">
        <v>243.0</v>
      </c>
      <c r="S21" s="259">
        <v>2.0</v>
      </c>
      <c r="T21" s="147" t="s">
        <v>37</v>
      </c>
      <c r="U21" s="148" t="s">
        <v>1811</v>
      </c>
      <c r="V21" s="148" t="s">
        <v>1775</v>
      </c>
      <c r="W21" s="149" t="s">
        <v>551</v>
      </c>
      <c r="X21" s="164" t="s">
        <v>1771</v>
      </c>
      <c r="Y21" s="147" t="s">
        <v>1772</v>
      </c>
      <c r="Z21" s="147" t="s">
        <v>1772</v>
      </c>
      <c r="AA21" s="147" t="s">
        <v>27</v>
      </c>
      <c r="AB21" s="147" t="s">
        <v>1783</v>
      </c>
    </row>
    <row r="22">
      <c r="A22" s="156">
        <v>467.0</v>
      </c>
      <c r="B22" s="259" t="s">
        <v>242</v>
      </c>
      <c r="C22" s="171" t="s">
        <v>322</v>
      </c>
      <c r="D22" s="142" t="s">
        <v>32</v>
      </c>
      <c r="E22" s="259">
        <v>1338.0</v>
      </c>
      <c r="F22" s="259">
        <v>53.0</v>
      </c>
      <c r="G22" s="259">
        <v>543.0</v>
      </c>
      <c r="H22" s="259">
        <v>0.0</v>
      </c>
      <c r="I22" s="259">
        <v>0.0</v>
      </c>
      <c r="J22" s="259">
        <v>110.0</v>
      </c>
      <c r="K22" s="259">
        <v>38.0</v>
      </c>
      <c r="L22" s="259" t="s">
        <v>29</v>
      </c>
      <c r="M22" s="259">
        <v>14.0</v>
      </c>
      <c r="N22" s="154">
        <v>188.0</v>
      </c>
      <c r="O22" s="175">
        <v>62.0</v>
      </c>
      <c r="P22" s="259">
        <v>0.0</v>
      </c>
      <c r="Q22" s="259">
        <v>7.0</v>
      </c>
      <c r="R22" s="149">
        <v>188.0</v>
      </c>
      <c r="S22" s="149">
        <v>2.0</v>
      </c>
      <c r="T22" s="147" t="s">
        <v>193</v>
      </c>
      <c r="U22" s="164" t="s">
        <v>1812</v>
      </c>
      <c r="V22" s="164" t="s">
        <v>1813</v>
      </c>
      <c r="W22" s="149" t="s">
        <v>551</v>
      </c>
      <c r="X22" s="164" t="s">
        <v>1771</v>
      </c>
      <c r="Y22" s="147" t="s">
        <v>1772</v>
      </c>
      <c r="Z22" s="147" t="s">
        <v>1772</v>
      </c>
      <c r="AA22" s="147" t="s">
        <v>27</v>
      </c>
      <c r="AB22" s="147" t="s">
        <v>1786</v>
      </c>
    </row>
    <row r="23" ht="15.75" customHeight="1">
      <c r="A23" s="156">
        <v>477.0</v>
      </c>
      <c r="B23" s="259" t="s">
        <v>242</v>
      </c>
      <c r="C23" s="171" t="s">
        <v>335</v>
      </c>
      <c r="D23" s="142" t="s">
        <v>28</v>
      </c>
      <c r="E23" s="259">
        <v>1888.0</v>
      </c>
      <c r="F23" s="259">
        <v>60.0</v>
      </c>
      <c r="G23" s="259">
        <v>514.0</v>
      </c>
      <c r="H23" s="259">
        <v>0.0</v>
      </c>
      <c r="I23" s="259">
        <v>0.0</v>
      </c>
      <c r="J23" s="259">
        <v>93.0</v>
      </c>
      <c r="K23" s="259">
        <v>43.0</v>
      </c>
      <c r="L23" s="259" t="s">
        <v>29</v>
      </c>
      <c r="M23" s="259">
        <v>16.0</v>
      </c>
      <c r="N23" s="154">
        <v>198.0</v>
      </c>
      <c r="O23" s="154">
        <v>79.0</v>
      </c>
      <c r="P23" s="259">
        <v>0.0</v>
      </c>
      <c r="Q23" s="259">
        <v>6.0</v>
      </c>
      <c r="R23" s="149">
        <v>243.0</v>
      </c>
      <c r="S23" s="149">
        <v>2.0</v>
      </c>
      <c r="T23" s="147" t="s">
        <v>37</v>
      </c>
      <c r="U23" s="164" t="s">
        <v>1814</v>
      </c>
      <c r="V23" s="149" t="s">
        <v>551</v>
      </c>
      <c r="W23" s="149" t="s">
        <v>551</v>
      </c>
      <c r="X23" s="164" t="s">
        <v>1771</v>
      </c>
      <c r="Y23" s="147" t="s">
        <v>1772</v>
      </c>
      <c r="Z23" s="147" t="s">
        <v>1772</v>
      </c>
      <c r="AA23" s="147" t="s">
        <v>27</v>
      </c>
      <c r="AB23" s="147" t="s">
        <v>1783</v>
      </c>
    </row>
    <row r="24">
      <c r="A24" s="156">
        <v>484.0</v>
      </c>
      <c r="B24" s="259" t="s">
        <v>242</v>
      </c>
      <c r="C24" s="152" t="s">
        <v>345</v>
      </c>
      <c r="D24" s="142" t="s">
        <v>32</v>
      </c>
      <c r="E24" s="259">
        <v>1590.0</v>
      </c>
      <c r="F24" s="259">
        <v>46.0</v>
      </c>
      <c r="G24" s="259">
        <v>547.0</v>
      </c>
      <c r="H24" s="259">
        <v>0.0</v>
      </c>
      <c r="I24" s="259">
        <v>0.0</v>
      </c>
      <c r="J24" s="259">
        <v>112.0</v>
      </c>
      <c r="K24" s="259">
        <v>38.0</v>
      </c>
      <c r="L24" s="259" t="s">
        <v>29</v>
      </c>
      <c r="M24" s="259">
        <v>14.0</v>
      </c>
      <c r="N24" s="154">
        <v>182.0</v>
      </c>
      <c r="O24" s="175">
        <v>72.0</v>
      </c>
      <c r="P24" s="259">
        <v>0.0</v>
      </c>
      <c r="Q24" s="259">
        <v>7.0</v>
      </c>
      <c r="R24" s="149">
        <v>218.0</v>
      </c>
      <c r="S24" s="149">
        <v>2.0</v>
      </c>
      <c r="T24" s="147" t="s">
        <v>193</v>
      </c>
      <c r="U24" s="164" t="s">
        <v>1815</v>
      </c>
      <c r="V24" s="164" t="s">
        <v>1816</v>
      </c>
      <c r="W24" s="149" t="s">
        <v>551</v>
      </c>
      <c r="X24" s="164" t="s">
        <v>1771</v>
      </c>
      <c r="Y24" s="147" t="s">
        <v>1772</v>
      </c>
      <c r="Z24" s="147" t="s">
        <v>1772</v>
      </c>
      <c r="AA24" s="147" t="s">
        <v>27</v>
      </c>
      <c r="AB24" s="147" t="s">
        <v>1786</v>
      </c>
    </row>
    <row r="25">
      <c r="A25" s="156">
        <v>492.0</v>
      </c>
      <c r="B25" s="149" t="s">
        <v>242</v>
      </c>
      <c r="C25" s="171" t="s">
        <v>357</v>
      </c>
      <c r="D25" s="142" t="s">
        <v>28</v>
      </c>
      <c r="E25" s="259">
        <v>1292.0</v>
      </c>
      <c r="F25" s="259">
        <v>44.0</v>
      </c>
      <c r="G25" s="259">
        <v>509.0</v>
      </c>
      <c r="H25" s="259">
        <v>0.0</v>
      </c>
      <c r="I25" s="259">
        <v>0.0</v>
      </c>
      <c r="J25" s="259">
        <v>85.0</v>
      </c>
      <c r="K25" s="259">
        <v>38.0</v>
      </c>
      <c r="L25" s="259" t="s">
        <v>29</v>
      </c>
      <c r="M25" s="259">
        <v>14.0</v>
      </c>
      <c r="N25" s="154">
        <v>177.0</v>
      </c>
      <c r="O25" s="175">
        <v>50.0</v>
      </c>
      <c r="P25" s="259">
        <v>0.0</v>
      </c>
      <c r="Q25" s="259">
        <v>6.0</v>
      </c>
      <c r="R25" s="149">
        <v>188.0</v>
      </c>
      <c r="S25" s="149">
        <v>2.0</v>
      </c>
      <c r="T25" s="147" t="s">
        <v>193</v>
      </c>
      <c r="U25" s="164" t="s">
        <v>1817</v>
      </c>
      <c r="V25" s="164" t="s">
        <v>1788</v>
      </c>
      <c r="W25" s="149"/>
      <c r="X25" s="164" t="s">
        <v>1771</v>
      </c>
      <c r="Y25" s="147" t="s">
        <v>1772</v>
      </c>
      <c r="Z25" s="147" t="s">
        <v>1772</v>
      </c>
      <c r="AA25" s="147" t="s">
        <v>27</v>
      </c>
      <c r="AB25" s="147" t="s">
        <v>1798</v>
      </c>
    </row>
    <row r="26">
      <c r="A26" s="156">
        <v>503.0</v>
      </c>
      <c r="B26" s="259" t="s">
        <v>242</v>
      </c>
      <c r="C26" s="171" t="s">
        <v>372</v>
      </c>
      <c r="D26" s="142" t="s">
        <v>28</v>
      </c>
      <c r="E26" s="259">
        <v>1555.0</v>
      </c>
      <c r="F26" s="259">
        <v>39.0</v>
      </c>
      <c r="G26" s="259">
        <v>505.0</v>
      </c>
      <c r="H26" s="259">
        <v>0.0</v>
      </c>
      <c r="I26" s="259">
        <v>0.0</v>
      </c>
      <c r="J26" s="259">
        <v>85.0</v>
      </c>
      <c r="K26" s="259">
        <v>38.0</v>
      </c>
      <c r="L26" s="259" t="s">
        <v>29</v>
      </c>
      <c r="M26" s="259">
        <v>14.0</v>
      </c>
      <c r="N26" s="154">
        <v>182.0</v>
      </c>
      <c r="O26" s="175">
        <v>16.0</v>
      </c>
      <c r="P26" s="259">
        <v>0.0</v>
      </c>
      <c r="Q26" s="259">
        <v>7.0</v>
      </c>
      <c r="R26" s="259">
        <v>208.0</v>
      </c>
      <c r="S26" s="259">
        <v>2.0</v>
      </c>
      <c r="T26" s="147" t="s">
        <v>269</v>
      </c>
      <c r="U26" s="164" t="s">
        <v>1818</v>
      </c>
      <c r="V26" s="149" t="s">
        <v>551</v>
      </c>
      <c r="W26" s="149" t="s">
        <v>551</v>
      </c>
      <c r="X26" s="164" t="s">
        <v>1771</v>
      </c>
      <c r="Y26" s="147" t="s">
        <v>1772</v>
      </c>
      <c r="Z26" s="147" t="s">
        <v>1772</v>
      </c>
      <c r="AA26" s="147" t="s">
        <v>27</v>
      </c>
      <c r="AB26" s="147" t="s">
        <v>1798</v>
      </c>
    </row>
    <row r="27">
      <c r="A27" s="156">
        <v>513.0</v>
      </c>
      <c r="B27" s="259" t="s">
        <v>242</v>
      </c>
      <c r="C27" s="171" t="s">
        <v>385</v>
      </c>
      <c r="D27" s="142" t="s">
        <v>32</v>
      </c>
      <c r="E27" s="259">
        <v>1971.0</v>
      </c>
      <c r="F27" s="259">
        <v>66.0</v>
      </c>
      <c r="G27" s="259">
        <v>537.0</v>
      </c>
      <c r="H27" s="259">
        <v>0.0</v>
      </c>
      <c r="I27" s="259">
        <v>0.0</v>
      </c>
      <c r="J27" s="259">
        <v>96.0</v>
      </c>
      <c r="K27" s="259">
        <v>43.0</v>
      </c>
      <c r="L27" s="259" t="s">
        <v>29</v>
      </c>
      <c r="M27" s="259">
        <v>16.0</v>
      </c>
      <c r="N27" s="154">
        <v>197.0</v>
      </c>
      <c r="O27" s="175">
        <v>90.0</v>
      </c>
      <c r="P27" s="259">
        <v>0.0</v>
      </c>
      <c r="Q27" s="259">
        <v>7.0</v>
      </c>
      <c r="R27" s="259">
        <v>243.0</v>
      </c>
      <c r="S27" s="259">
        <v>2.0</v>
      </c>
      <c r="T27" s="147" t="s">
        <v>37</v>
      </c>
      <c r="U27" s="148" t="s">
        <v>1819</v>
      </c>
      <c r="V27" s="164" t="s">
        <v>1820</v>
      </c>
      <c r="W27" s="149" t="s">
        <v>551</v>
      </c>
      <c r="X27" s="164" t="s">
        <v>1771</v>
      </c>
      <c r="Y27" s="147" t="s">
        <v>1772</v>
      </c>
      <c r="Z27" s="147" t="s">
        <v>1772</v>
      </c>
      <c r="AA27" s="147" t="s">
        <v>27</v>
      </c>
      <c r="AB27" s="147" t="s">
        <v>1821</v>
      </c>
    </row>
    <row r="28">
      <c r="A28" s="156">
        <v>519.0</v>
      </c>
      <c r="B28" s="259" t="s">
        <v>242</v>
      </c>
      <c r="C28" s="171" t="s">
        <v>393</v>
      </c>
      <c r="D28" s="142" t="s">
        <v>28</v>
      </c>
      <c r="E28" s="259">
        <v>2518.0</v>
      </c>
      <c r="F28" s="259">
        <v>115.0</v>
      </c>
      <c r="G28" s="259">
        <v>505.0</v>
      </c>
      <c r="H28" s="259">
        <v>0.0</v>
      </c>
      <c r="I28" s="259">
        <v>0.0</v>
      </c>
      <c r="J28" s="259">
        <v>93.0</v>
      </c>
      <c r="K28" s="259">
        <v>38.0</v>
      </c>
      <c r="L28" s="259" t="s">
        <v>29</v>
      </c>
      <c r="M28" s="259">
        <v>13.0</v>
      </c>
      <c r="N28" s="154">
        <v>198.0</v>
      </c>
      <c r="O28" s="175">
        <v>69.0</v>
      </c>
      <c r="P28" s="259">
        <v>0.0</v>
      </c>
      <c r="Q28" s="259">
        <v>6.0</v>
      </c>
      <c r="R28" s="149">
        <v>263.0</v>
      </c>
      <c r="S28" s="259">
        <v>2.0</v>
      </c>
      <c r="T28" s="147" t="s">
        <v>37</v>
      </c>
      <c r="U28" s="161" t="s">
        <v>1822</v>
      </c>
      <c r="V28" s="148" t="s">
        <v>1823</v>
      </c>
      <c r="W28" s="149"/>
      <c r="X28" s="164" t="s">
        <v>1771</v>
      </c>
      <c r="Y28" s="147" t="s">
        <v>1772</v>
      </c>
      <c r="Z28" s="147" t="s">
        <v>1772</v>
      </c>
      <c r="AA28" s="147" t="s">
        <v>677</v>
      </c>
      <c r="AB28" s="147" t="s">
        <v>1783</v>
      </c>
    </row>
    <row r="29">
      <c r="A29" s="182" t="s">
        <v>433</v>
      </c>
      <c r="B29" s="183" t="s">
        <v>242</v>
      </c>
      <c r="C29" s="152" t="str">
        <f>HYPERLINK("https://azurlane.koumakan.jp/Minato_Aqua","Minato Aqua")</f>
        <v>Minato Aqua</v>
      </c>
      <c r="D29" s="170" t="s">
        <v>32</v>
      </c>
      <c r="E29" s="170">
        <v>1722.0</v>
      </c>
      <c r="F29" s="170">
        <v>66.0</v>
      </c>
      <c r="G29" s="170">
        <v>545.0</v>
      </c>
      <c r="H29" s="170">
        <v>0.0</v>
      </c>
      <c r="I29" s="170">
        <v>0.0</v>
      </c>
      <c r="J29" s="170">
        <v>109.0</v>
      </c>
      <c r="K29" s="170">
        <v>45.0</v>
      </c>
      <c r="L29" s="170" t="s">
        <v>29</v>
      </c>
      <c r="M29" s="170">
        <v>40.0</v>
      </c>
      <c r="N29" s="170">
        <v>182.0</v>
      </c>
      <c r="O29" s="191">
        <v>64.0</v>
      </c>
      <c r="P29" s="170">
        <v>0.0</v>
      </c>
      <c r="Q29" s="170">
        <v>7.0</v>
      </c>
      <c r="R29" s="170">
        <v>268.0</v>
      </c>
      <c r="S29" s="170">
        <v>2.0</v>
      </c>
      <c r="T29" s="170" t="s">
        <v>429</v>
      </c>
      <c r="U29" s="164" t="s">
        <v>1824</v>
      </c>
      <c r="V29" s="148" t="s">
        <v>1825</v>
      </c>
      <c r="W29" s="164" t="s">
        <v>1826</v>
      </c>
      <c r="X29" s="149" t="s">
        <v>1827</v>
      </c>
      <c r="Y29" s="147" t="s">
        <v>1772</v>
      </c>
      <c r="Z29" s="147" t="s">
        <v>1772</v>
      </c>
      <c r="AA29" s="147" t="s">
        <v>27</v>
      </c>
      <c r="AB29" s="147" t="s">
        <v>1786</v>
      </c>
    </row>
    <row r="30">
      <c r="A30" s="156" t="s">
        <v>468</v>
      </c>
      <c r="B30" s="259" t="s">
        <v>242</v>
      </c>
      <c r="C30" s="171" t="s">
        <v>469</v>
      </c>
      <c r="D30" s="142" t="s">
        <v>28</v>
      </c>
      <c r="E30" s="259">
        <v>1542.0</v>
      </c>
      <c r="F30" s="259">
        <v>49.0</v>
      </c>
      <c r="G30" s="259">
        <v>518.0</v>
      </c>
      <c r="H30" s="259">
        <v>0.0</v>
      </c>
      <c r="I30" s="259">
        <v>0.0</v>
      </c>
      <c r="J30" s="259">
        <v>118.0</v>
      </c>
      <c r="K30" s="259">
        <v>43.0</v>
      </c>
      <c r="L30" s="259" t="s">
        <v>29</v>
      </c>
      <c r="M30" s="259">
        <v>23.0</v>
      </c>
      <c r="N30" s="154">
        <v>207.0</v>
      </c>
      <c r="O30" s="175">
        <v>74.0</v>
      </c>
      <c r="P30" s="259">
        <v>0.0</v>
      </c>
      <c r="Q30" s="259">
        <v>6.0</v>
      </c>
      <c r="R30" s="259">
        <v>248.0</v>
      </c>
      <c r="S30" s="259">
        <v>2.0</v>
      </c>
      <c r="T30" s="147" t="s">
        <v>459</v>
      </c>
      <c r="U30" s="148" t="s">
        <v>1828</v>
      </c>
      <c r="V30" s="164" t="s">
        <v>1829</v>
      </c>
      <c r="W30" s="149" t="s">
        <v>1827</v>
      </c>
      <c r="X30" s="149" t="s">
        <v>1827</v>
      </c>
      <c r="Y30" s="147" t="s">
        <v>1772</v>
      </c>
      <c r="Z30" s="147" t="s">
        <v>1772</v>
      </c>
      <c r="AA30" s="147" t="s">
        <v>27</v>
      </c>
      <c r="AB30" s="147" t="s">
        <v>1798</v>
      </c>
    </row>
    <row r="31">
      <c r="A31" s="156" t="s">
        <v>470</v>
      </c>
      <c r="B31" s="259" t="s">
        <v>242</v>
      </c>
      <c r="C31" s="171" t="s">
        <v>471</v>
      </c>
      <c r="D31" s="142" t="s">
        <v>28</v>
      </c>
      <c r="E31" s="259">
        <v>1542.0</v>
      </c>
      <c r="F31" s="259">
        <v>49.0</v>
      </c>
      <c r="G31" s="259">
        <v>518.0</v>
      </c>
      <c r="H31" s="259">
        <v>0.0</v>
      </c>
      <c r="I31" s="259">
        <v>0.0</v>
      </c>
      <c r="J31" s="259">
        <v>118.0</v>
      </c>
      <c r="K31" s="259">
        <v>43.0</v>
      </c>
      <c r="L31" s="259" t="s">
        <v>29</v>
      </c>
      <c r="M31" s="259">
        <v>23.0</v>
      </c>
      <c r="N31" s="154">
        <v>207.0</v>
      </c>
      <c r="O31" s="175">
        <v>74.0</v>
      </c>
      <c r="P31" s="259">
        <v>0.0</v>
      </c>
      <c r="Q31" s="259">
        <v>6.0</v>
      </c>
      <c r="R31" s="259">
        <v>248.0</v>
      </c>
      <c r="S31" s="259">
        <v>2.0</v>
      </c>
      <c r="T31" s="147" t="s">
        <v>459</v>
      </c>
      <c r="U31" s="148" t="s">
        <v>1830</v>
      </c>
      <c r="V31" s="164" t="s">
        <v>1831</v>
      </c>
      <c r="W31" s="149" t="s">
        <v>1827</v>
      </c>
      <c r="X31" s="149" t="s">
        <v>1827</v>
      </c>
      <c r="Y31" s="147" t="s">
        <v>1772</v>
      </c>
      <c r="Z31" s="147" t="s">
        <v>1772</v>
      </c>
      <c r="AA31" s="147" t="s">
        <v>27</v>
      </c>
      <c r="AB31" s="147" t="s">
        <v>1832</v>
      </c>
    </row>
    <row r="32">
      <c r="A32" s="156">
        <v>528.0</v>
      </c>
      <c r="B32" s="259" t="s">
        <v>242</v>
      </c>
      <c r="C32" s="171" t="s">
        <v>539</v>
      </c>
      <c r="D32" s="142" t="s">
        <v>28</v>
      </c>
      <c r="E32" s="259">
        <v>1289.0</v>
      </c>
      <c r="F32" s="259">
        <v>46.0</v>
      </c>
      <c r="G32" s="259">
        <v>505.0</v>
      </c>
      <c r="H32" s="259">
        <v>0.0</v>
      </c>
      <c r="I32" s="259">
        <v>0.0</v>
      </c>
      <c r="J32" s="259">
        <v>86.0</v>
      </c>
      <c r="K32" s="259">
        <v>38.0</v>
      </c>
      <c r="L32" s="259" t="s">
        <v>29</v>
      </c>
      <c r="M32" s="259">
        <v>18.0</v>
      </c>
      <c r="N32" s="154">
        <v>180.0</v>
      </c>
      <c r="O32" s="175">
        <v>20.0</v>
      </c>
      <c r="P32" s="259">
        <v>0.0</v>
      </c>
      <c r="Q32" s="259">
        <v>6.0</v>
      </c>
      <c r="R32" s="259">
        <v>198.0</v>
      </c>
      <c r="S32" s="259">
        <v>2.0</v>
      </c>
      <c r="T32" s="147" t="s">
        <v>193</v>
      </c>
      <c r="U32" s="164" t="s">
        <v>1833</v>
      </c>
      <c r="V32" s="164" t="s">
        <v>1788</v>
      </c>
      <c r="W32" s="149" t="s">
        <v>551</v>
      </c>
      <c r="X32" s="164" t="s">
        <v>1771</v>
      </c>
      <c r="Y32" s="147" t="s">
        <v>1772</v>
      </c>
      <c r="Z32" s="147" t="s">
        <v>1772</v>
      </c>
      <c r="AA32" s="147" t="s">
        <v>27</v>
      </c>
      <c r="AB32" s="147" t="s">
        <v>1832</v>
      </c>
    </row>
    <row r="33">
      <c r="A33" s="299"/>
      <c r="B33" s="269"/>
      <c r="C33" s="270"/>
      <c r="D33" s="142"/>
      <c r="E33" s="269"/>
      <c r="F33" s="269"/>
      <c r="G33" s="269"/>
      <c r="H33" s="269"/>
      <c r="I33" s="269"/>
      <c r="J33" s="269"/>
      <c r="K33" s="269"/>
      <c r="L33" s="269"/>
      <c r="M33" s="269"/>
      <c r="N33" s="155"/>
      <c r="O33" s="214"/>
      <c r="P33" s="269"/>
      <c r="Q33" s="269"/>
      <c r="R33" s="269"/>
      <c r="S33" s="269"/>
      <c r="T33" s="147"/>
      <c r="U33" s="269"/>
      <c r="V33" s="269"/>
      <c r="W33" s="149"/>
      <c r="X33" s="269"/>
      <c r="Y33" s="147"/>
      <c r="Z33" s="147"/>
      <c r="AA33" s="147"/>
      <c r="AB33" s="147"/>
    </row>
    <row r="34">
      <c r="A34" s="299"/>
      <c r="B34" s="269"/>
      <c r="C34" s="270"/>
      <c r="D34" s="142"/>
      <c r="E34" s="269"/>
      <c r="F34" s="269"/>
      <c r="G34" s="269"/>
      <c r="H34" s="269"/>
      <c r="I34" s="269"/>
      <c r="J34" s="269"/>
      <c r="K34" s="269"/>
      <c r="L34" s="269"/>
      <c r="M34" s="269"/>
      <c r="N34" s="155"/>
      <c r="O34" s="214"/>
      <c r="P34" s="269"/>
      <c r="Q34" s="269"/>
      <c r="R34" s="269"/>
      <c r="S34" s="269"/>
      <c r="T34" s="147"/>
      <c r="U34" s="269"/>
      <c r="V34" s="269"/>
      <c r="W34" s="149"/>
      <c r="X34" s="269"/>
      <c r="Y34" s="147"/>
      <c r="Z34" s="147"/>
      <c r="AA34" s="147"/>
      <c r="AB34" s="147"/>
    </row>
    <row r="35">
      <c r="A35" s="299"/>
      <c r="B35" s="269"/>
      <c r="C35" s="270"/>
      <c r="D35" s="142"/>
      <c r="E35" s="269"/>
      <c r="F35" s="269"/>
      <c r="G35" s="269"/>
      <c r="H35" s="269"/>
      <c r="I35" s="269"/>
      <c r="J35" s="269"/>
      <c r="K35" s="269"/>
      <c r="L35" s="269"/>
      <c r="M35" s="269"/>
      <c r="N35" s="155"/>
      <c r="O35" s="214"/>
      <c r="P35" s="269"/>
      <c r="Q35" s="269"/>
      <c r="R35" s="269"/>
      <c r="S35" s="269"/>
      <c r="T35" s="147"/>
      <c r="U35" s="269"/>
      <c r="V35" s="269"/>
      <c r="W35" s="149"/>
      <c r="X35" s="269"/>
      <c r="Y35" s="147"/>
      <c r="Z35" s="147"/>
      <c r="AA35" s="147"/>
      <c r="AB35" s="147"/>
    </row>
  </sheetData>
  <customSheetViews>
    <customSheetView guid="{89A112BF-7670-4149-A23D-9DE7296E8357}" filter="1" showAutoFilter="1">
      <autoFilter ref="$A$1:$Y$35"/>
    </customSheetView>
  </customSheetViews>
  <conditionalFormatting sqref="T1:T35">
    <cfRule type="cellIs" dxfId="15" priority="1" operator="equal">
      <formula>"Northern Parliament"</formula>
    </cfRule>
  </conditionalFormatting>
  <conditionalFormatting sqref="T1:T35">
    <cfRule type="cellIs" dxfId="24" priority="2" operator="equal">
      <formula>"Hololive"</formula>
    </cfRule>
  </conditionalFormatting>
  <conditionalFormatting sqref="T1:T35">
    <cfRule type="cellIs" dxfId="12" priority="3" operator="equal">
      <formula>"Sardegna Empire"</formula>
    </cfRule>
  </conditionalFormatting>
  <conditionalFormatting sqref="T1:T35">
    <cfRule type="cellIs" dxfId="23" priority="4" operator="equal">
      <formula>"Universal"</formula>
    </cfRule>
  </conditionalFormatting>
  <conditionalFormatting sqref="D2:D35 E11:S12">
    <cfRule type="cellIs" dxfId="4" priority="5" operator="equal">
      <formula>"Priority"</formula>
    </cfRule>
  </conditionalFormatting>
  <conditionalFormatting sqref="D2:D35 E11:S12">
    <cfRule type="cellIs" dxfId="5" priority="6" operator="equal">
      <formula>"Decisive"</formula>
    </cfRule>
  </conditionalFormatting>
  <conditionalFormatting sqref="T1:T35">
    <cfRule type="cellIs" dxfId="22" priority="7" operator="equal">
      <formula>"Kizuna Ai"</formula>
    </cfRule>
  </conditionalFormatting>
  <conditionalFormatting sqref="T1:T35">
    <cfRule type="cellIs" dxfId="3" priority="8" operator="equal">
      <formula>"Neptunia"</formula>
    </cfRule>
  </conditionalFormatting>
  <conditionalFormatting sqref="X1">
    <cfRule type="containsBlanks" dxfId="31" priority="9">
      <formula>LEN(TRIM(X1))=0</formula>
    </cfRule>
  </conditionalFormatting>
  <conditionalFormatting sqref="D2:D35 E11:S12">
    <cfRule type="cellIs" dxfId="1" priority="10" operator="equal">
      <formula>"Common"</formula>
    </cfRule>
  </conditionalFormatting>
  <conditionalFormatting sqref="D2:D35 E11:S12">
    <cfRule type="cellIs" dxfId="2" priority="11" operator="equal">
      <formula>"Rare"</formula>
    </cfRule>
  </conditionalFormatting>
  <conditionalFormatting sqref="D2:D35 E11:S12">
    <cfRule type="cellIs" dxfId="3" priority="12" operator="equal">
      <formula>"Elite"</formula>
    </cfRule>
  </conditionalFormatting>
  <conditionalFormatting sqref="D2:D35 E11:S12">
    <cfRule type="cellIs" dxfId="4" priority="13" operator="equal">
      <formula>"Super Rare"</formula>
    </cfRule>
  </conditionalFormatting>
  <conditionalFormatting sqref="D2:D35 E11:S12">
    <cfRule type="cellIs" dxfId="5" priority="14" operator="equal">
      <formula>"Ultra Rare"</formula>
    </cfRule>
  </conditionalFormatting>
  <conditionalFormatting sqref="B1:B35">
    <cfRule type="cellIs" dxfId="12" priority="15" operator="equal">
      <formula>"SS"</formula>
    </cfRule>
  </conditionalFormatting>
  <conditionalFormatting sqref="T1:T35">
    <cfRule type="cellIs" dxfId="15" priority="16" operator="equal">
      <formula>"North Union"</formula>
    </cfRule>
  </conditionalFormatting>
  <conditionalFormatting sqref="T1:T35">
    <cfRule type="cellIs" dxfId="2" priority="17" operator="equal">
      <formula>"Eagle Union"</formula>
    </cfRule>
  </conditionalFormatting>
  <conditionalFormatting sqref="T1:T35">
    <cfRule type="cellIs" dxfId="16" priority="18" operator="equal">
      <formula>"Royal Navy"</formula>
    </cfRule>
  </conditionalFormatting>
  <conditionalFormatting sqref="T1:T35">
    <cfRule type="cellIs" dxfId="17" priority="19" operator="equal">
      <formula>"Sakura Empire"</formula>
    </cfRule>
  </conditionalFormatting>
  <conditionalFormatting sqref="T1:T35">
    <cfRule type="cellIs" dxfId="5" priority="20" operator="equal">
      <formula>"Iron Blood"</formula>
    </cfRule>
  </conditionalFormatting>
  <conditionalFormatting sqref="T1:T35">
    <cfRule type="cellIs" dxfId="18" priority="21" operator="equal">
      <formula>"Eastern Radiance"</formula>
    </cfRule>
  </conditionalFormatting>
  <conditionalFormatting sqref="T1:T35">
    <cfRule type="cellIs" dxfId="4" priority="22" operator="equal">
      <formula>"Iris Libre"</formula>
    </cfRule>
  </conditionalFormatting>
  <conditionalFormatting sqref="T1:T35">
    <cfRule type="cellIs" dxfId="9" priority="23" operator="equal">
      <formula>"Vichya Dominion"</formula>
    </cfRule>
  </conditionalFormatting>
  <conditionalFormatting sqref="Y1:Y35 Z2:Z35 AA5:AA7">
    <cfRule type="cellIs" dxfId="12" priority="24" operator="equal">
      <formula>"Yes"</formula>
    </cfRule>
  </conditionalFormatting>
  <conditionalFormatting sqref="Y1:Y35 Z2:Z35 AA5:AA7">
    <cfRule type="cellIs" dxfId="9" priority="25" operator="equal">
      <formula>"No"</formula>
    </cfRule>
  </conditionalFormatting>
  <conditionalFormatting sqref="Q2:Q35">
    <cfRule type="colorScale" priority="26">
      <colorScale>
        <cfvo type="min"/>
        <cfvo type="percentile" val="50"/>
        <cfvo type="max"/>
        <color rgb="FF57BB8A"/>
        <color rgb="FFFFD666"/>
        <color rgb="FFE67C73"/>
      </colorScale>
    </cfRule>
  </conditionalFormatting>
  <conditionalFormatting sqref="E2:E35">
    <cfRule type="colorScale" priority="27">
      <colorScale>
        <cfvo type="min"/>
        <cfvo type="percentile" val="50"/>
        <cfvo type="formula" val="2350"/>
        <color rgb="FFE67C73"/>
        <color rgb="FFFFD666"/>
        <color rgb="FF57BB8A"/>
      </colorScale>
    </cfRule>
  </conditionalFormatting>
  <conditionalFormatting sqref="F2:F35">
    <cfRule type="colorScale" priority="28">
      <colorScale>
        <cfvo type="min"/>
        <cfvo type="percentile" val="50"/>
        <cfvo type="max"/>
        <color rgb="FFE67C73"/>
        <color rgb="FFFFD666"/>
        <color rgb="FF57BB8A"/>
      </colorScale>
    </cfRule>
  </conditionalFormatting>
  <conditionalFormatting sqref="G2:G35">
    <cfRule type="colorScale" priority="29">
      <colorScale>
        <cfvo type="min"/>
        <cfvo type="percentile" val="50"/>
        <cfvo type="max"/>
        <color rgb="FFE67C73"/>
        <color rgb="FFFFD666"/>
        <color rgb="FF57BB8A"/>
      </colorScale>
    </cfRule>
  </conditionalFormatting>
  <conditionalFormatting sqref="K2:K35">
    <cfRule type="colorScale" priority="30">
      <colorScale>
        <cfvo type="min"/>
        <cfvo type="percentile" val="50"/>
        <cfvo type="max"/>
        <color rgb="FFE67C73"/>
        <color rgb="FFFFD666"/>
        <color rgb="FF57BB8A"/>
      </colorScale>
    </cfRule>
  </conditionalFormatting>
  <conditionalFormatting sqref="J2:J35">
    <cfRule type="colorScale" priority="31">
      <colorScale>
        <cfvo type="min"/>
        <cfvo type="percentile" val="50"/>
        <cfvo type="max"/>
        <color rgb="FFE67C73"/>
        <color rgb="FFFFD666"/>
        <color rgb="FF57BB8A"/>
      </colorScale>
    </cfRule>
  </conditionalFormatting>
  <conditionalFormatting sqref="M2:M35">
    <cfRule type="colorScale" priority="32">
      <colorScale>
        <cfvo type="min"/>
        <cfvo type="percentile" val="50"/>
        <cfvo type="max"/>
        <color rgb="FFE67C73"/>
        <color rgb="FFFFD666"/>
        <color rgb="FF57BB8A"/>
      </colorScale>
    </cfRule>
  </conditionalFormatting>
  <conditionalFormatting sqref="R2:R35">
    <cfRule type="colorScale" priority="33">
      <colorScale>
        <cfvo type="min"/>
        <cfvo type="percentile" val="50"/>
        <cfvo type="max"/>
        <color rgb="FFE67C73"/>
        <color rgb="FFFFD666"/>
        <color rgb="FF57BB8A"/>
      </colorScale>
    </cfRule>
  </conditionalFormatting>
  <conditionalFormatting sqref="N2:N35">
    <cfRule type="colorScale" priority="34">
      <colorScale>
        <cfvo type="min"/>
        <cfvo type="percentile" val="50"/>
        <cfvo type="max"/>
        <color rgb="FFE67C73"/>
        <color rgb="FFFFD666"/>
        <color rgb="FF57BB8A"/>
      </colorScale>
    </cfRule>
  </conditionalFormatting>
  <conditionalFormatting sqref="O2:O35">
    <cfRule type="colorScale" priority="35">
      <colorScale>
        <cfvo type="min"/>
        <cfvo type="percentile" val="50"/>
        <cfvo type="max"/>
        <color rgb="FFE67C73"/>
        <color rgb="FFFFD666"/>
        <color rgb="FF57BB8A"/>
      </colorScale>
    </cfRule>
  </conditionalFormatting>
  <conditionalFormatting sqref="B1:B35">
    <cfRule type="cellIs" dxfId="0" priority="36" operator="equal">
      <formula>"SSV"</formula>
    </cfRule>
  </conditionalFormatting>
  <conditionalFormatting sqref="H2:H35">
    <cfRule type="colorScale" priority="37">
      <colorScale>
        <cfvo type="min"/>
        <cfvo type="percentile" val="50"/>
        <cfvo type="max"/>
        <color rgb="FFE67C73"/>
        <color rgb="FFFFD666"/>
        <color rgb="FF57BB8A"/>
      </colorScale>
    </cfRule>
  </conditionalFormatting>
  <hyperlinks>
    <hyperlink r:id="rId2" ref="C22"/>
    <hyperlink r:id="rId3" ref="C23"/>
    <hyperlink r:id="rId4" ref="C24"/>
    <hyperlink r:id="rId5" ref="C25"/>
    <hyperlink r:id="rId6" ref="C26"/>
    <hyperlink r:id="rId7" ref="C27"/>
    <hyperlink r:id="rId8" ref="C28"/>
    <hyperlink r:id="rId9" ref="C30"/>
    <hyperlink r:id="rId10" ref="C31"/>
    <hyperlink r:id="rId11" ref="C32"/>
  </hyperlinks>
  <drawing r:id="rId12"/>
  <legacyDrawing r:id="rId13"/>
  <tableParts count="1">
    <tablePart r:id="rId15"/>
  </tableParts>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00"/>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14"/>
    <col customWidth="1" min="2" max="2" width="21.57"/>
    <col customWidth="1" min="3" max="3" width="10.86"/>
    <col customWidth="1" min="4" max="4" width="9.14"/>
    <col customWidth="1" min="5" max="5" width="8.71"/>
    <col customWidth="1" min="6" max="6" width="8.57"/>
    <col customWidth="1" min="7" max="7" width="9.71"/>
    <col customWidth="1" min="8" max="9" width="8.29"/>
    <col customWidth="1" min="10" max="10" width="8.57"/>
    <col customWidth="1" min="11" max="12" width="6.86"/>
    <col customWidth="1" min="13" max="14" width="7.71"/>
    <col customWidth="1" min="15" max="15" width="23.71"/>
    <col customWidth="1" min="16" max="16" width="21.86"/>
    <col customWidth="1" min="17" max="17" width="67.14"/>
  </cols>
  <sheetData>
    <row r="1">
      <c r="A1" s="12" t="s">
        <v>4</v>
      </c>
      <c r="B1" s="363" t="s">
        <v>1834</v>
      </c>
      <c r="C1" s="364" t="s">
        <v>1835</v>
      </c>
      <c r="D1" s="363" t="s">
        <v>1836</v>
      </c>
      <c r="E1" s="363" t="s">
        <v>1837</v>
      </c>
      <c r="F1" s="363" t="s">
        <v>1838</v>
      </c>
      <c r="G1" s="363" t="s">
        <v>1839</v>
      </c>
      <c r="H1" s="363" t="s">
        <v>1840</v>
      </c>
      <c r="I1" s="363" t="s">
        <v>1841</v>
      </c>
      <c r="J1" s="363" t="s">
        <v>1842</v>
      </c>
      <c r="K1" s="363" t="s">
        <v>1843</v>
      </c>
      <c r="L1" s="363" t="s">
        <v>1844</v>
      </c>
      <c r="M1" s="363" t="s">
        <v>1845</v>
      </c>
      <c r="N1" s="363" t="s">
        <v>1846</v>
      </c>
      <c r="O1" s="363" t="s">
        <v>1847</v>
      </c>
      <c r="P1" s="363" t="s">
        <v>24</v>
      </c>
      <c r="Q1" s="363" t="s">
        <v>26</v>
      </c>
    </row>
    <row r="2" ht="56.25" customHeight="1">
      <c r="A2" s="365" t="s">
        <v>27</v>
      </c>
      <c r="B2" s="366" t="str">
        <f>HYPERLINK("https://azurlane.koumakan.jp/Twin_130mm_(Mle_1935)#Type_1","Twin 130mm Mle 1935")</f>
        <v>Twin 130mm Mle 1935</v>
      </c>
      <c r="C2" s="367"/>
      <c r="D2" s="368" t="s">
        <v>1848</v>
      </c>
      <c r="E2" s="369">
        <v>1.46</v>
      </c>
      <c r="F2" s="370">
        <v>14.53</v>
      </c>
      <c r="G2" s="369" t="s">
        <v>1849</v>
      </c>
      <c r="H2" s="370">
        <v>14.53</v>
      </c>
      <c r="I2" s="370">
        <v>7.27</v>
      </c>
      <c r="J2" s="370">
        <v>2.91</v>
      </c>
      <c r="K2" s="369">
        <v>55.0</v>
      </c>
      <c r="L2" s="369">
        <v>50.0</v>
      </c>
      <c r="M2" s="369" t="s">
        <v>1850</v>
      </c>
      <c r="N2" s="369" t="s">
        <v>1851</v>
      </c>
      <c r="O2" s="369" t="s">
        <v>1852</v>
      </c>
      <c r="P2" s="369" t="s">
        <v>1853</v>
      </c>
      <c r="Q2" s="371" t="s">
        <v>1854</v>
      </c>
    </row>
    <row r="3" ht="56.25" customHeight="1">
      <c r="A3" s="372" t="s">
        <v>27</v>
      </c>
      <c r="B3" s="373" t="str">
        <f>HYPERLINK("https://azurlane.koumakan.jp/Single_120mm_(Type_3)#Type_3","Single 120mm Main Gun")</f>
        <v>Single 120mm Main Gun</v>
      </c>
      <c r="C3" s="374"/>
      <c r="D3" s="375" t="s">
        <v>1855</v>
      </c>
      <c r="E3" s="376">
        <v>1.02</v>
      </c>
      <c r="F3" s="377">
        <v>7.81</v>
      </c>
      <c r="G3" s="376" t="s">
        <v>1849</v>
      </c>
      <c r="H3" s="377">
        <v>7.81</v>
      </c>
      <c r="I3" s="377">
        <v>3.91</v>
      </c>
      <c r="J3" s="377">
        <v>1.56</v>
      </c>
      <c r="K3" s="376">
        <v>55.0</v>
      </c>
      <c r="L3" s="376">
        <v>50.0</v>
      </c>
      <c r="M3" s="376" t="s">
        <v>1856</v>
      </c>
      <c r="N3" s="376" t="s">
        <v>1851</v>
      </c>
      <c r="O3" s="376" t="s">
        <v>1857</v>
      </c>
      <c r="P3" s="378"/>
      <c r="Q3" s="379" t="s">
        <v>1858</v>
      </c>
    </row>
    <row r="4" ht="56.25" customHeight="1">
      <c r="A4" s="365" t="s">
        <v>27</v>
      </c>
      <c r="B4" s="366" t="str">
        <f>HYPERLINK("https://azurlane.koumakan.jp/Twin_102mm_(QF_Mk_XVI)#Type_3","Twin 102mm Auxiliary Gun")</f>
        <v>Twin 102mm Auxiliary Gun</v>
      </c>
      <c r="C4" s="374"/>
      <c r="D4" s="368" t="s">
        <v>1859</v>
      </c>
      <c r="E4" s="369">
        <v>1.52</v>
      </c>
      <c r="F4" s="370">
        <v>7.98</v>
      </c>
      <c r="G4" s="369" t="s">
        <v>1849</v>
      </c>
      <c r="H4" s="370">
        <v>7.98</v>
      </c>
      <c r="I4" s="370">
        <v>3.99</v>
      </c>
      <c r="J4" s="370">
        <v>1.6</v>
      </c>
      <c r="K4" s="369">
        <v>52.0</v>
      </c>
      <c r="L4" s="369">
        <v>50.0</v>
      </c>
      <c r="M4" s="369" t="s">
        <v>1860</v>
      </c>
      <c r="N4" s="369" t="s">
        <v>1851</v>
      </c>
      <c r="O4" s="369" t="s">
        <v>1852</v>
      </c>
      <c r="P4" s="380"/>
      <c r="Q4" s="381" t="s">
        <v>1861</v>
      </c>
    </row>
    <row r="5" ht="56.25" customHeight="1">
      <c r="A5" s="372" t="s">
        <v>27</v>
      </c>
      <c r="B5" s="373" t="str">
        <f>HYPERLINK("https://azurlane.koumakan.jp/Single_102mm_(QF_Mk_V)#Type_3","Single 102mm (QF Mk V)")</f>
        <v>Single 102mm (QF Mk V)</v>
      </c>
      <c r="C5" s="374"/>
      <c r="D5" s="375" t="s">
        <v>1862</v>
      </c>
      <c r="E5" s="376">
        <v>0.76</v>
      </c>
      <c r="F5" s="377">
        <v>8.58</v>
      </c>
      <c r="G5" s="376" t="s">
        <v>1863</v>
      </c>
      <c r="H5" s="377">
        <v>8.58</v>
      </c>
      <c r="I5" s="377">
        <v>4.29</v>
      </c>
      <c r="J5" s="377">
        <v>1.72</v>
      </c>
      <c r="K5" s="376">
        <v>52.0</v>
      </c>
      <c r="L5" s="376">
        <v>40.0</v>
      </c>
      <c r="M5" s="376" t="s">
        <v>1856</v>
      </c>
      <c r="N5" s="376" t="s">
        <v>1851</v>
      </c>
      <c r="O5" s="376" t="s">
        <v>1857</v>
      </c>
      <c r="P5" s="378"/>
      <c r="Q5" s="382" t="s">
        <v>1864</v>
      </c>
    </row>
    <row r="6" ht="56.25" customHeight="1">
      <c r="A6" s="365" t="s">
        <v>27</v>
      </c>
      <c r="B6" s="366" t="str">
        <f>HYPERLINK("https://azurlane.koumakan.jp/Single_127mm_(SK_C/34)#Type_3","Single 127mm Main Gun")</f>
        <v>Single 127mm Main Gun</v>
      </c>
      <c r="C6" s="374"/>
      <c r="D6" s="368" t="s">
        <v>1865</v>
      </c>
      <c r="E6" s="369">
        <v>1.09</v>
      </c>
      <c r="F6" s="370">
        <v>8.33</v>
      </c>
      <c r="G6" s="369" t="s">
        <v>1866</v>
      </c>
      <c r="H6" s="370">
        <v>7.5</v>
      </c>
      <c r="I6" s="370">
        <v>5.83</v>
      </c>
      <c r="J6" s="370">
        <v>3.33</v>
      </c>
      <c r="K6" s="369">
        <v>60.0</v>
      </c>
      <c r="L6" s="369">
        <v>50.0</v>
      </c>
      <c r="M6" s="369" t="s">
        <v>1856</v>
      </c>
      <c r="N6" s="369" t="s">
        <v>1851</v>
      </c>
      <c r="O6" s="369" t="s">
        <v>1857</v>
      </c>
      <c r="P6" s="383">
        <v>43469.0</v>
      </c>
      <c r="Q6" s="384"/>
    </row>
    <row r="7" ht="56.25" customHeight="1">
      <c r="A7" s="372" t="s">
        <v>27</v>
      </c>
      <c r="B7" s="373" t="str">
        <f>HYPERLINK("https://azurlane.koumakan.jp/Single_76mm_(3%22/50_caliber_gun)#Type_3","76mm AA Gun")</f>
        <v>76mm AA Gun</v>
      </c>
      <c r="C7" s="374"/>
      <c r="D7" s="375" t="s">
        <v>1862</v>
      </c>
      <c r="E7" s="376">
        <v>0.67</v>
      </c>
      <c r="F7" s="377">
        <v>9.41</v>
      </c>
      <c r="G7" s="376" t="s">
        <v>1863</v>
      </c>
      <c r="H7" s="377">
        <v>9.41</v>
      </c>
      <c r="I7" s="377">
        <v>4.7</v>
      </c>
      <c r="J7" s="377">
        <v>1.88</v>
      </c>
      <c r="K7" s="376">
        <v>50.0</v>
      </c>
      <c r="L7" s="376">
        <v>40.0</v>
      </c>
      <c r="M7" s="376" t="s">
        <v>1856</v>
      </c>
      <c r="N7" s="376" t="s">
        <v>1851</v>
      </c>
      <c r="O7" s="376" t="s">
        <v>1857</v>
      </c>
      <c r="P7" s="385">
        <v>43527.0</v>
      </c>
      <c r="Q7" s="386" t="s">
        <v>1867</v>
      </c>
    </row>
    <row r="8" ht="56.25" customHeight="1">
      <c r="A8" s="365" t="s">
        <v>27</v>
      </c>
      <c r="B8" s="387" t="s">
        <v>1868</v>
      </c>
      <c r="C8" s="374"/>
      <c r="D8" s="368" t="s">
        <v>1869</v>
      </c>
      <c r="E8" s="369">
        <v>1.54</v>
      </c>
      <c r="F8" s="370">
        <v>10.53</v>
      </c>
      <c r="G8" s="369" t="s">
        <v>1849</v>
      </c>
      <c r="H8" s="370">
        <v>10.53</v>
      </c>
      <c r="I8" s="370">
        <v>5.26</v>
      </c>
      <c r="J8" s="370">
        <v>2.11</v>
      </c>
      <c r="K8" s="369">
        <v>60.0</v>
      </c>
      <c r="L8" s="369">
        <v>50.0</v>
      </c>
      <c r="M8" s="369" t="s">
        <v>1850</v>
      </c>
      <c r="N8" s="369" t="s">
        <v>1851</v>
      </c>
      <c r="O8" s="368" t="s">
        <v>1870</v>
      </c>
      <c r="P8" s="368" t="s">
        <v>1871</v>
      </c>
      <c r="Q8" s="388"/>
    </row>
    <row r="9" ht="56.25" customHeight="1">
      <c r="A9" s="372" t="s">
        <v>27</v>
      </c>
      <c r="B9" s="389" t="s">
        <v>1872</v>
      </c>
      <c r="C9" s="374"/>
      <c r="D9" s="375" t="s">
        <v>1869</v>
      </c>
      <c r="E9" s="376">
        <v>1.5</v>
      </c>
      <c r="F9" s="377">
        <v>10.91</v>
      </c>
      <c r="G9" s="376" t="s">
        <v>1849</v>
      </c>
      <c r="H9" s="377">
        <v>10.91</v>
      </c>
      <c r="I9" s="377">
        <v>5.45</v>
      </c>
      <c r="J9" s="377">
        <v>2.18</v>
      </c>
      <c r="K9" s="376">
        <v>55.0</v>
      </c>
      <c r="L9" s="376">
        <v>50.0</v>
      </c>
      <c r="M9" s="376" t="s">
        <v>1856</v>
      </c>
      <c r="N9" s="376" t="s">
        <v>1851</v>
      </c>
      <c r="O9" s="375" t="s">
        <v>1870</v>
      </c>
      <c r="P9" s="376" t="s">
        <v>1871</v>
      </c>
      <c r="Q9" s="390"/>
    </row>
    <row r="10" ht="56.25" customHeight="1">
      <c r="A10" s="365" t="s">
        <v>27</v>
      </c>
      <c r="B10" s="366" t="str">
        <f>HYPERLINK("https://azurlane.koumakan.jp/Single_120mm_(QF_Mark_IX)#Type_3","Single 120mm Main Gun")</f>
        <v>Single 120mm Main Gun</v>
      </c>
      <c r="C10" s="374"/>
      <c r="D10" s="368" t="s">
        <v>1873</v>
      </c>
      <c r="E10" s="369">
        <v>0.76</v>
      </c>
      <c r="F10" s="370">
        <v>13.48</v>
      </c>
      <c r="G10" s="369" t="s">
        <v>1849</v>
      </c>
      <c r="H10" s="370">
        <v>13.48</v>
      </c>
      <c r="I10" s="370">
        <v>6.74</v>
      </c>
      <c r="J10" s="370">
        <v>2.7</v>
      </c>
      <c r="K10" s="369">
        <v>55.0</v>
      </c>
      <c r="L10" s="369">
        <v>50.0</v>
      </c>
      <c r="M10" s="369" t="s">
        <v>1856</v>
      </c>
      <c r="N10" s="369" t="s">
        <v>1851</v>
      </c>
      <c r="O10" s="369" t="s">
        <v>1857</v>
      </c>
      <c r="P10" s="383">
        <v>43469.0</v>
      </c>
      <c r="Q10" s="380"/>
    </row>
    <row r="11" ht="56.25" customHeight="1">
      <c r="A11" s="372" t="s">
        <v>27</v>
      </c>
      <c r="B11" s="389" t="s">
        <v>1874</v>
      </c>
      <c r="C11" s="374"/>
      <c r="D11" s="375" t="s">
        <v>1875</v>
      </c>
      <c r="E11" s="376">
        <v>1.04</v>
      </c>
      <c r="F11" s="377">
        <v>15.62</v>
      </c>
      <c r="G11" s="376" t="s">
        <v>1849</v>
      </c>
      <c r="H11" s="377">
        <v>15.62</v>
      </c>
      <c r="I11" s="377">
        <v>7.81</v>
      </c>
      <c r="J11" s="377">
        <v>3.12</v>
      </c>
      <c r="K11" s="376">
        <v>60.0</v>
      </c>
      <c r="L11" s="376">
        <v>50.0</v>
      </c>
      <c r="M11" s="376" t="s">
        <v>1876</v>
      </c>
      <c r="N11" s="376" t="s">
        <v>1851</v>
      </c>
      <c r="O11" s="375" t="s">
        <v>1870</v>
      </c>
      <c r="P11" s="375" t="s">
        <v>1871</v>
      </c>
      <c r="Q11" s="391"/>
    </row>
    <row r="12" ht="56.25" customHeight="1">
      <c r="A12" s="365" t="s">
        <v>27</v>
      </c>
      <c r="B12" s="366" t="str">
        <f>HYPERLINK("https://azurlane.koumakan.jp/Single_130mm_(Mle_1924)#Type_3","130mm Single Cannon (Mle 1924)")</f>
        <v>130mm Single Cannon (Mle 1924)</v>
      </c>
      <c r="C12" s="374"/>
      <c r="D12" s="368" t="s">
        <v>1877</v>
      </c>
      <c r="E12" s="368">
        <v>1.7</v>
      </c>
      <c r="F12" s="392">
        <v>20.37</v>
      </c>
      <c r="G12" s="368" t="s">
        <v>1849</v>
      </c>
      <c r="H12" s="392">
        <v>20.37</v>
      </c>
      <c r="I12" s="392">
        <v>10.19</v>
      </c>
      <c r="J12" s="392">
        <v>4.07</v>
      </c>
      <c r="K12" s="368">
        <v>50.0</v>
      </c>
      <c r="L12" s="368">
        <v>50.0</v>
      </c>
      <c r="M12" s="369" t="s">
        <v>1878</v>
      </c>
      <c r="N12" s="369" t="s">
        <v>1851</v>
      </c>
      <c r="O12" s="368" t="s">
        <v>1870</v>
      </c>
      <c r="P12" s="368" t="s">
        <v>1879</v>
      </c>
      <c r="Q12" s="368"/>
    </row>
    <row r="13" ht="56.25" customHeight="1">
      <c r="A13" s="372" t="s">
        <v>27</v>
      </c>
      <c r="B13" s="373" t="str">
        <f>HYPERLINK("https://azurlane.koumakan.jp/Single_130mm_(B13_Pattern_1936)#Type_2","Single 130mm Main Gun")</f>
        <v>Single 130mm Main Gun</v>
      </c>
      <c r="C13" s="393"/>
      <c r="D13" s="375" t="s">
        <v>1880</v>
      </c>
      <c r="E13" s="376">
        <v>1.42</v>
      </c>
      <c r="F13" s="377">
        <v>23.44</v>
      </c>
      <c r="G13" s="376" t="s">
        <v>1849</v>
      </c>
      <c r="H13" s="377">
        <v>23.44</v>
      </c>
      <c r="I13" s="377">
        <v>11.72</v>
      </c>
      <c r="J13" s="377">
        <v>4.69</v>
      </c>
      <c r="K13" s="376">
        <v>65.0</v>
      </c>
      <c r="L13" s="375">
        <v>50.0</v>
      </c>
      <c r="M13" s="376" t="s">
        <v>1881</v>
      </c>
      <c r="N13" s="376" t="s">
        <v>1851</v>
      </c>
      <c r="O13" s="376" t="s">
        <v>1870</v>
      </c>
      <c r="P13" s="378"/>
      <c r="Q13" s="378"/>
    </row>
    <row r="14" ht="56.25" customHeight="1">
      <c r="A14" s="365" t="s">
        <v>27</v>
      </c>
      <c r="B14" s="366" t="str">
        <f>HYPERLINK("https://azurlane.koumakan.jp/Twin_120mm_(Model_1933)#Type_0","Twin 120mm Main Gun (M1933)")</f>
        <v>Twin 120mm Main Gun (M1933)</v>
      </c>
      <c r="C14" s="374"/>
      <c r="D14" s="368" t="s">
        <v>1882</v>
      </c>
      <c r="E14" s="369">
        <v>1.61</v>
      </c>
      <c r="F14" s="370">
        <v>19.13</v>
      </c>
      <c r="G14" s="369" t="s">
        <v>1883</v>
      </c>
      <c r="H14" s="370">
        <v>22.96</v>
      </c>
      <c r="I14" s="370">
        <v>11.48</v>
      </c>
      <c r="J14" s="370">
        <v>11.48</v>
      </c>
      <c r="K14" s="369">
        <v>55.0</v>
      </c>
      <c r="L14" s="369">
        <v>50.0</v>
      </c>
      <c r="M14" s="369" t="s">
        <v>1850</v>
      </c>
      <c r="N14" s="369" t="s">
        <v>1851</v>
      </c>
      <c r="O14" s="369" t="s">
        <v>1884</v>
      </c>
      <c r="P14" s="369" t="s">
        <v>1885</v>
      </c>
      <c r="Q14" s="368"/>
    </row>
    <row r="15" ht="56.25" customHeight="1">
      <c r="A15" s="372" t="s">
        <v>27</v>
      </c>
      <c r="B15" s="373" t="str">
        <f>HYPERLINK("https://azurlane.koumakan.jp/Quadruple_130mm_(Mle_1932)#Type_0","Quad 130mm (Mle 1932)")</f>
        <v>Quad 130mm (Mle 1932)</v>
      </c>
      <c r="C15" s="374"/>
      <c r="D15" s="375" t="s">
        <v>1886</v>
      </c>
      <c r="E15" s="376">
        <v>1.28</v>
      </c>
      <c r="F15" s="377">
        <v>32.47</v>
      </c>
      <c r="G15" s="376" t="s">
        <v>1849</v>
      </c>
      <c r="H15" s="377">
        <v>32.47</v>
      </c>
      <c r="I15" s="377">
        <v>16.23</v>
      </c>
      <c r="J15" s="377">
        <v>6.49</v>
      </c>
      <c r="K15" s="376">
        <v>60.0</v>
      </c>
      <c r="L15" s="376">
        <v>50.0</v>
      </c>
      <c r="M15" s="376" t="s">
        <v>1878</v>
      </c>
      <c r="N15" s="376" t="s">
        <v>1851</v>
      </c>
      <c r="O15" s="376" t="s">
        <v>1887</v>
      </c>
      <c r="P15" s="376" t="s">
        <v>1888</v>
      </c>
      <c r="Q15" s="375"/>
    </row>
    <row r="16" ht="56.25" customHeight="1">
      <c r="A16" s="365" t="s">
        <v>27</v>
      </c>
      <c r="B16" s="366" t="str">
        <f>HYPERLINK("https://azurlane.koumakan.jp/Triple_102mm_(BL_4%22_Mk_IX)#Type_3","Triple 102mm Auxiliary Gun")</f>
        <v>Triple 102mm Auxiliary Gun</v>
      </c>
      <c r="C16" s="394"/>
      <c r="D16" s="368" t="s">
        <v>1889</v>
      </c>
      <c r="E16" s="369">
        <v>2.87</v>
      </c>
      <c r="F16" s="370">
        <v>10.96</v>
      </c>
      <c r="G16" s="369" t="s">
        <v>1849</v>
      </c>
      <c r="H16" s="370">
        <v>10.96</v>
      </c>
      <c r="I16" s="370">
        <v>5.48</v>
      </c>
      <c r="J16" s="370">
        <v>2.19</v>
      </c>
      <c r="K16" s="369">
        <v>52.0</v>
      </c>
      <c r="L16" s="369">
        <v>50.0</v>
      </c>
      <c r="M16" s="369" t="s">
        <v>1876</v>
      </c>
      <c r="N16" s="369" t="s">
        <v>1851</v>
      </c>
      <c r="O16" s="369" t="s">
        <v>1870</v>
      </c>
      <c r="P16" s="380"/>
      <c r="Q16" s="380"/>
    </row>
    <row r="17" ht="56.25" customHeight="1">
      <c r="A17" s="372" t="s">
        <v>27</v>
      </c>
      <c r="B17" s="389" t="s">
        <v>1890</v>
      </c>
      <c r="C17" s="394"/>
      <c r="D17" s="375" t="s">
        <v>1848</v>
      </c>
      <c r="E17" s="376">
        <v>1.38</v>
      </c>
      <c r="F17" s="377">
        <v>12.29</v>
      </c>
      <c r="G17" s="376" t="s">
        <v>1849</v>
      </c>
      <c r="H17" s="377">
        <v>12.29</v>
      </c>
      <c r="I17" s="377">
        <v>6.15</v>
      </c>
      <c r="J17" s="377">
        <v>2.46</v>
      </c>
      <c r="K17" s="376">
        <v>52.0</v>
      </c>
      <c r="L17" s="376">
        <v>50.0</v>
      </c>
      <c r="M17" s="376" t="s">
        <v>1878</v>
      </c>
      <c r="N17" s="376" t="s">
        <v>1851</v>
      </c>
      <c r="O17" s="376" t="s">
        <v>1870</v>
      </c>
      <c r="P17" s="375" t="s">
        <v>1871</v>
      </c>
      <c r="Q17" s="378"/>
    </row>
    <row r="18" ht="56.25" customHeight="1">
      <c r="A18" s="365" t="s">
        <v>27</v>
      </c>
      <c r="B18" s="366" t="str">
        <f>HYPERLINK("https://azurlane.koumakan.jp/Twin_134mm_(QF_Mark_II)#Type_3","Twin 134mm AA Gun")</f>
        <v>Twin 134mm AA Gun</v>
      </c>
      <c r="C18" s="394"/>
      <c r="D18" s="368" t="s">
        <v>1891</v>
      </c>
      <c r="E18" s="369">
        <v>1.27</v>
      </c>
      <c r="F18" s="370">
        <v>15.82</v>
      </c>
      <c r="G18" s="369" t="s">
        <v>1866</v>
      </c>
      <c r="H18" s="370">
        <v>14.24</v>
      </c>
      <c r="I18" s="370">
        <v>11.07</v>
      </c>
      <c r="J18" s="370">
        <v>6.33</v>
      </c>
      <c r="K18" s="369">
        <v>62.0</v>
      </c>
      <c r="L18" s="369">
        <v>50.0</v>
      </c>
      <c r="M18" s="369" t="s">
        <v>1850</v>
      </c>
      <c r="N18" s="369" t="s">
        <v>1851</v>
      </c>
      <c r="O18" s="369" t="s">
        <v>1852</v>
      </c>
      <c r="P18" s="380"/>
      <c r="Q18" s="380"/>
    </row>
    <row r="19" ht="56.25" customHeight="1">
      <c r="A19" s="372" t="s">
        <v>27</v>
      </c>
      <c r="B19" s="389" t="s">
        <v>1892</v>
      </c>
      <c r="C19" s="394"/>
      <c r="D19" s="375" t="s">
        <v>1882</v>
      </c>
      <c r="E19" s="376">
        <v>1.32</v>
      </c>
      <c r="F19" s="377">
        <v>23.57</v>
      </c>
      <c r="G19" s="376" t="s">
        <v>1849</v>
      </c>
      <c r="H19" s="377">
        <v>23.57</v>
      </c>
      <c r="I19" s="377">
        <v>11.79</v>
      </c>
      <c r="J19" s="377">
        <v>4.71</v>
      </c>
      <c r="K19" s="376">
        <v>50.0</v>
      </c>
      <c r="L19" s="376">
        <v>50.0</v>
      </c>
      <c r="M19" s="376" t="s">
        <v>1850</v>
      </c>
      <c r="N19" s="376" t="s">
        <v>1851</v>
      </c>
      <c r="O19" s="376" t="s">
        <v>1884</v>
      </c>
      <c r="P19" s="375" t="s">
        <v>1871</v>
      </c>
      <c r="Q19" s="378"/>
    </row>
    <row r="20" ht="56.25" customHeight="1">
      <c r="A20" s="365" t="s">
        <v>27</v>
      </c>
      <c r="B20" s="387" t="s">
        <v>1893</v>
      </c>
      <c r="C20" s="394"/>
      <c r="D20" s="368" t="s">
        <v>1894</v>
      </c>
      <c r="E20" s="369">
        <v>1.01</v>
      </c>
      <c r="F20" s="370">
        <v>31.18</v>
      </c>
      <c r="G20" s="369" t="s">
        <v>1849</v>
      </c>
      <c r="H20" s="370">
        <v>31.18</v>
      </c>
      <c r="I20" s="370">
        <v>15.59</v>
      </c>
      <c r="J20" s="370">
        <v>6.24</v>
      </c>
      <c r="K20" s="369">
        <v>55.0</v>
      </c>
      <c r="L20" s="369">
        <v>50.0</v>
      </c>
      <c r="M20" s="369" t="s">
        <v>1856</v>
      </c>
      <c r="N20" s="369" t="s">
        <v>1851</v>
      </c>
      <c r="O20" s="369" t="s">
        <v>1870</v>
      </c>
      <c r="P20" s="368" t="s">
        <v>1871</v>
      </c>
      <c r="Q20" s="380"/>
    </row>
    <row r="21" ht="56.25" customHeight="1">
      <c r="A21" s="372" t="s">
        <v>27</v>
      </c>
      <c r="B21" s="389" t="s">
        <v>1895</v>
      </c>
      <c r="C21" s="394"/>
      <c r="D21" s="375" t="s">
        <v>1896</v>
      </c>
      <c r="E21" s="376">
        <v>1.67</v>
      </c>
      <c r="F21" s="377">
        <v>24.63</v>
      </c>
      <c r="G21" s="376" t="s">
        <v>1866</v>
      </c>
      <c r="H21" s="377">
        <v>22.17</v>
      </c>
      <c r="I21" s="377">
        <v>17.24</v>
      </c>
      <c r="J21" s="377">
        <v>9.85</v>
      </c>
      <c r="K21" s="376" t="s">
        <v>1897</v>
      </c>
      <c r="L21" s="376" t="s">
        <v>1897</v>
      </c>
      <c r="M21" s="376" t="s">
        <v>1897</v>
      </c>
      <c r="N21" s="395" t="s">
        <v>1851</v>
      </c>
      <c r="O21" s="376" t="s">
        <v>1884</v>
      </c>
      <c r="P21" s="375" t="s">
        <v>1871</v>
      </c>
      <c r="Q21" s="375"/>
    </row>
    <row r="22" ht="56.25" customHeight="1">
      <c r="A22" s="365" t="s">
        <v>27</v>
      </c>
      <c r="B22" s="366" t="str">
        <f>HYPERLINK("https://azurlane.koumakan.jp/Twin_128mm_(SK_C/41)#Type_3","Twin 128mm Dual Gun (SK C/41)")</f>
        <v>Twin 128mm Dual Gun (SK C/41)</v>
      </c>
      <c r="C22" s="394"/>
      <c r="D22" s="368" t="s">
        <v>1898</v>
      </c>
      <c r="E22" s="369">
        <v>1.5</v>
      </c>
      <c r="F22" s="370">
        <v>27.2</v>
      </c>
      <c r="G22" s="369" t="s">
        <v>1866</v>
      </c>
      <c r="H22" s="370">
        <v>24.48</v>
      </c>
      <c r="I22" s="370">
        <v>19.04</v>
      </c>
      <c r="J22" s="370">
        <v>10.88</v>
      </c>
      <c r="K22" s="369">
        <v>60.0</v>
      </c>
      <c r="L22" s="369">
        <v>50.0</v>
      </c>
      <c r="M22" s="369" t="s">
        <v>1850</v>
      </c>
      <c r="N22" s="369" t="s">
        <v>1851</v>
      </c>
      <c r="O22" s="369" t="s">
        <v>1884</v>
      </c>
      <c r="P22" s="380"/>
      <c r="Q22" s="380"/>
    </row>
    <row r="23" ht="56.25" customHeight="1">
      <c r="A23" s="372" t="s">
        <v>27</v>
      </c>
      <c r="B23" s="373" t="str">
        <f>HYPERLINK("https://azurlane.koumakan.jp/Twin_127mm_(Type_3)#Type_3","Twin 127mm Mounted Gun")</f>
        <v>Twin 127mm Mounted Gun</v>
      </c>
      <c r="C23" s="394"/>
      <c r="D23" s="375" t="s">
        <v>1886</v>
      </c>
      <c r="E23" s="376">
        <v>1.52</v>
      </c>
      <c r="F23" s="377">
        <v>28.09</v>
      </c>
      <c r="G23" s="376" t="s">
        <v>1883</v>
      </c>
      <c r="H23" s="377">
        <v>33.7</v>
      </c>
      <c r="I23" s="377">
        <v>16.85</v>
      </c>
      <c r="J23" s="377">
        <v>16.85</v>
      </c>
      <c r="K23" s="376">
        <v>60.0</v>
      </c>
      <c r="L23" s="376">
        <v>50.0</v>
      </c>
      <c r="M23" s="376" t="s">
        <v>1850</v>
      </c>
      <c r="N23" s="376" t="s">
        <v>1851</v>
      </c>
      <c r="O23" s="376" t="s">
        <v>1884</v>
      </c>
      <c r="P23" s="376" t="s">
        <v>1899</v>
      </c>
      <c r="Q23" s="376"/>
    </row>
    <row r="24" ht="56.25" customHeight="1">
      <c r="A24" s="365" t="s">
        <v>27</v>
      </c>
      <c r="B24" s="366" t="str">
        <f>HYPERLINK("https://azurlane.koumakan.jp/Twin_100mm_(Type_98)#Type_2","Twin 100mm (Type 98) AA Gun")</f>
        <v>Twin 100mm (Type 98) AA Gun</v>
      </c>
      <c r="C24" s="394"/>
      <c r="D24" s="368" t="s">
        <v>1898</v>
      </c>
      <c r="E24" s="369">
        <v>1.02</v>
      </c>
      <c r="F24" s="370">
        <v>35.07</v>
      </c>
      <c r="G24" s="369" t="s">
        <v>1849</v>
      </c>
      <c r="H24" s="370">
        <v>35.07</v>
      </c>
      <c r="I24" s="370">
        <v>17.54</v>
      </c>
      <c r="J24" s="370">
        <v>7.01</v>
      </c>
      <c r="K24" s="369">
        <v>50.0</v>
      </c>
      <c r="L24" s="369">
        <v>50.0</v>
      </c>
      <c r="M24" s="369" t="s">
        <v>1850</v>
      </c>
      <c r="N24" s="369" t="s">
        <v>1851</v>
      </c>
      <c r="O24" s="369" t="s">
        <v>1884</v>
      </c>
      <c r="P24" s="369" t="s">
        <v>1900</v>
      </c>
      <c r="Q24" s="380"/>
    </row>
    <row r="25" ht="56.25" customHeight="1">
      <c r="A25" s="372" t="s">
        <v>27</v>
      </c>
      <c r="B25" s="396" t="str">
        <f>HYPERLINK("https://azurlane.koumakan.jp/Twin_127mm_(5%22/38_Mk_38)#Type_2","Twin 127mm MK12 Dual Gun")</f>
        <v>Twin 127mm MK12 Dual Gun</v>
      </c>
      <c r="C25" s="397"/>
      <c r="D25" s="398" t="s">
        <v>1901</v>
      </c>
      <c r="E25" s="376">
        <v>1.63</v>
      </c>
      <c r="F25" s="377">
        <v>30.95</v>
      </c>
      <c r="G25" s="395" t="s">
        <v>1883</v>
      </c>
      <c r="H25" s="377">
        <v>37.15</v>
      </c>
      <c r="I25" s="377">
        <v>18.57</v>
      </c>
      <c r="J25" s="377">
        <v>18.57</v>
      </c>
      <c r="K25" s="395">
        <v>60.0</v>
      </c>
      <c r="L25" s="376">
        <v>50.0</v>
      </c>
      <c r="M25" s="376" t="s">
        <v>1850</v>
      </c>
      <c r="N25" s="395" t="s">
        <v>1851</v>
      </c>
      <c r="O25" s="395" t="s">
        <v>1884</v>
      </c>
      <c r="P25" s="376" t="s">
        <v>1902</v>
      </c>
      <c r="Q25" s="378"/>
    </row>
    <row r="26" ht="56.25" customHeight="1">
      <c r="A26" s="365" t="s">
        <v>27</v>
      </c>
      <c r="B26" s="399" t="s">
        <v>1903</v>
      </c>
      <c r="C26" s="397"/>
      <c r="D26" s="400" t="s">
        <v>1904</v>
      </c>
      <c r="E26" s="369">
        <v>1.73</v>
      </c>
      <c r="F26" s="370">
        <v>35.89</v>
      </c>
      <c r="G26" s="369" t="s">
        <v>1883</v>
      </c>
      <c r="H26" s="370">
        <v>43.06</v>
      </c>
      <c r="I26" s="370">
        <v>21.53</v>
      </c>
      <c r="J26" s="370">
        <v>21.53</v>
      </c>
      <c r="K26" s="401">
        <v>60.0</v>
      </c>
      <c r="L26" s="369">
        <v>50.0</v>
      </c>
      <c r="M26" s="369" t="s">
        <v>1850</v>
      </c>
      <c r="N26" s="401" t="s">
        <v>1851</v>
      </c>
      <c r="O26" s="369" t="s">
        <v>1905</v>
      </c>
      <c r="P26" s="368" t="s">
        <v>1871</v>
      </c>
      <c r="Q26" s="380"/>
    </row>
    <row r="27" ht="56.25" customHeight="1">
      <c r="A27" s="372" t="s">
        <v>27</v>
      </c>
      <c r="B27" s="373" t="str">
        <f>HYPERLINK("https://azurlane.koumakan.jp/Twin_120mm_(Model_1936)#Type_3","Twin 120mm Main Gun (M1936)")</f>
        <v>Twin 120mm Main Gun (M1936)</v>
      </c>
      <c r="C27" s="394"/>
      <c r="D27" s="375" t="s">
        <v>1906</v>
      </c>
      <c r="E27" s="376">
        <v>1.59</v>
      </c>
      <c r="F27" s="377">
        <v>41.46</v>
      </c>
      <c r="G27" s="376" t="s">
        <v>1849</v>
      </c>
      <c r="H27" s="377">
        <v>41.46</v>
      </c>
      <c r="I27" s="377">
        <v>20.73</v>
      </c>
      <c r="J27" s="377">
        <v>8.29</v>
      </c>
      <c r="K27" s="376">
        <v>55.0</v>
      </c>
      <c r="L27" s="376">
        <v>50.0</v>
      </c>
      <c r="M27" s="376" t="s">
        <v>1907</v>
      </c>
      <c r="N27" s="376" t="s">
        <v>1851</v>
      </c>
      <c r="O27" s="376" t="s">
        <v>1884</v>
      </c>
      <c r="P27" s="376" t="s">
        <v>1885</v>
      </c>
      <c r="Q27" s="375"/>
    </row>
    <row r="28" ht="56.25" customHeight="1">
      <c r="A28" s="365" t="s">
        <v>27</v>
      </c>
      <c r="B28" s="366" t="str">
        <f>HYPERLINK("https://azurlane.koumakan.jp/Twin_120mm_(QF_Mark_XII)#Type_3","Twin 120mm Main Gun")</f>
        <v>Twin 120mm Main Gun</v>
      </c>
      <c r="C28" s="394"/>
      <c r="D28" s="368" t="s">
        <v>1904</v>
      </c>
      <c r="E28" s="369">
        <v>1.44</v>
      </c>
      <c r="F28" s="370">
        <v>41.67</v>
      </c>
      <c r="G28" s="369" t="s">
        <v>1849</v>
      </c>
      <c r="H28" s="370">
        <v>41.67</v>
      </c>
      <c r="I28" s="370">
        <v>20.83</v>
      </c>
      <c r="J28" s="370">
        <v>8.33</v>
      </c>
      <c r="K28" s="369">
        <v>55.0</v>
      </c>
      <c r="L28" s="369">
        <v>50.0</v>
      </c>
      <c r="M28" s="369" t="s">
        <v>1850</v>
      </c>
      <c r="N28" s="369" t="s">
        <v>1851</v>
      </c>
      <c r="O28" s="369" t="s">
        <v>1884</v>
      </c>
      <c r="P28" s="369" t="s">
        <v>1908</v>
      </c>
      <c r="Q28" s="380"/>
    </row>
    <row r="29" ht="56.25" customHeight="1">
      <c r="A29" s="372" t="s">
        <v>27</v>
      </c>
      <c r="B29" s="389" t="s">
        <v>1909</v>
      </c>
      <c r="C29" s="394"/>
      <c r="D29" s="375" t="s">
        <v>1901</v>
      </c>
      <c r="E29" s="376">
        <v>1.45</v>
      </c>
      <c r="F29" s="377">
        <v>34.03</v>
      </c>
      <c r="G29" s="376" t="s">
        <v>1883</v>
      </c>
      <c r="H29" s="377">
        <v>40.84</v>
      </c>
      <c r="I29" s="377">
        <v>20.42</v>
      </c>
      <c r="J29" s="377">
        <v>20.42</v>
      </c>
      <c r="K29" s="376">
        <v>60.0</v>
      </c>
      <c r="L29" s="376">
        <v>50.0</v>
      </c>
      <c r="M29" s="376" t="s">
        <v>1850</v>
      </c>
      <c r="N29" s="376" t="s">
        <v>1851</v>
      </c>
      <c r="O29" s="376" t="s">
        <v>1884</v>
      </c>
      <c r="P29" s="375" t="s">
        <v>1871</v>
      </c>
      <c r="Q29" s="376"/>
    </row>
    <row r="30" ht="56.25" customHeight="1">
      <c r="A30" s="365" t="s">
        <v>27</v>
      </c>
      <c r="B30" s="366" t="str">
        <f>HYPERLINK("https://azurlane.koumakan.jp/Single_127mm_(5%22/38_Mk_30)#Type_3","Single 127mm Main Gun")</f>
        <v>Single 127mm Main Gun</v>
      </c>
      <c r="C30" s="394"/>
      <c r="D30" s="368" t="s">
        <v>1910</v>
      </c>
      <c r="E30" s="369">
        <v>1.06</v>
      </c>
      <c r="F30" s="370">
        <v>34.72</v>
      </c>
      <c r="G30" s="369" t="s">
        <v>1883</v>
      </c>
      <c r="H30" s="370">
        <v>41.67</v>
      </c>
      <c r="I30" s="370">
        <v>20.83</v>
      </c>
      <c r="J30" s="370">
        <v>20.83</v>
      </c>
      <c r="K30" s="369">
        <v>60.0</v>
      </c>
      <c r="L30" s="369">
        <v>50.0</v>
      </c>
      <c r="M30" s="369" t="s">
        <v>1876</v>
      </c>
      <c r="N30" s="369" t="s">
        <v>1851</v>
      </c>
      <c r="O30" s="369" t="s">
        <v>1870</v>
      </c>
      <c r="P30" s="369" t="s">
        <v>1911</v>
      </c>
      <c r="Q30" s="369" t="s">
        <v>1912</v>
      </c>
    </row>
    <row r="31" ht="56.25" customHeight="1">
      <c r="A31" s="372" t="s">
        <v>27</v>
      </c>
      <c r="B31" s="402" t="s">
        <v>1913</v>
      </c>
      <c r="C31" s="403"/>
      <c r="D31" s="398" t="s">
        <v>1914</v>
      </c>
      <c r="E31" s="376">
        <v>1.52</v>
      </c>
      <c r="F31" s="377">
        <v>43.32</v>
      </c>
      <c r="G31" s="376" t="s">
        <v>1849</v>
      </c>
      <c r="H31" s="377">
        <v>43.32</v>
      </c>
      <c r="I31" s="377">
        <v>21.66</v>
      </c>
      <c r="J31" s="377">
        <v>8.66</v>
      </c>
      <c r="K31" s="376">
        <v>60.0</v>
      </c>
      <c r="L31" s="376">
        <v>50.0</v>
      </c>
      <c r="M31" s="395" t="s">
        <v>1878</v>
      </c>
      <c r="N31" s="376" t="s">
        <v>1851</v>
      </c>
      <c r="O31" s="376" t="s">
        <v>1870</v>
      </c>
      <c r="P31" s="376" t="s">
        <v>1915</v>
      </c>
      <c r="Q31" s="398"/>
    </row>
    <row r="32" ht="56.25" customHeight="1">
      <c r="A32" s="404" t="s">
        <v>27</v>
      </c>
      <c r="B32" s="405" t="str">
        <f>HYPERLINK("https://azurlane.koumakan.jp/Single_138.6mm_(Mle_1929)#Type_2","Single 138.6mm (Mle 1929)")</f>
        <v>Single 138.6mm (Mle 1929)</v>
      </c>
      <c r="C32" s="403"/>
      <c r="D32" s="400" t="s">
        <v>1916</v>
      </c>
      <c r="E32" s="369">
        <v>1.73</v>
      </c>
      <c r="F32" s="370">
        <v>35.16</v>
      </c>
      <c r="G32" s="401" t="s">
        <v>1883</v>
      </c>
      <c r="H32" s="370">
        <v>42.19</v>
      </c>
      <c r="I32" s="370">
        <v>21.1</v>
      </c>
      <c r="J32" s="370">
        <v>21.1</v>
      </c>
      <c r="K32" s="401">
        <v>60.0</v>
      </c>
      <c r="L32" s="369">
        <v>50.0</v>
      </c>
      <c r="M32" s="401" t="s">
        <v>1878</v>
      </c>
      <c r="N32" s="401" t="s">
        <v>1851</v>
      </c>
      <c r="O32" s="401" t="s">
        <v>1870</v>
      </c>
      <c r="P32" s="369" t="s">
        <v>1879</v>
      </c>
      <c r="Q32" s="400" t="s">
        <v>1917</v>
      </c>
    </row>
    <row r="33" ht="56.25" customHeight="1">
      <c r="A33" s="372" t="s">
        <v>27</v>
      </c>
      <c r="B33" s="373" t="str">
        <f>HYPERLINK("https://azurlane.koumakan.jp/Single_130mm_(B13_Pattern_1936)#Type_2","Single 130mm Main Gun")</f>
        <v>Single 130mm Main Gun</v>
      </c>
      <c r="C33" s="406"/>
      <c r="D33" s="375" t="s">
        <v>1918</v>
      </c>
      <c r="E33" s="376">
        <v>1.2</v>
      </c>
      <c r="F33" s="377">
        <v>38.4</v>
      </c>
      <c r="G33" s="376" t="s">
        <v>1883</v>
      </c>
      <c r="H33" s="377">
        <v>46.08</v>
      </c>
      <c r="I33" s="377">
        <v>23.04</v>
      </c>
      <c r="J33" s="377">
        <v>23.04</v>
      </c>
      <c r="K33" s="376">
        <v>65.0</v>
      </c>
      <c r="L33" s="376">
        <v>50.0</v>
      </c>
      <c r="M33" s="376" t="s">
        <v>1881</v>
      </c>
      <c r="N33" s="376" t="s">
        <v>1851</v>
      </c>
      <c r="O33" s="376" t="s">
        <v>1870</v>
      </c>
      <c r="P33" s="376" t="s">
        <v>1919</v>
      </c>
      <c r="Q33" s="378"/>
    </row>
    <row r="34" ht="56.25" customHeight="1">
      <c r="A34" s="365" t="s">
        <v>27</v>
      </c>
      <c r="B34" s="366" t="str">
        <f>HYPERLINK("https://azurlane.koumakan.jp/Twin_100mm_(Type_98)#Type_3","Twin 100mm (Type 98) AA Gun")</f>
        <v>Twin 100mm (Type 98) AA Gun</v>
      </c>
      <c r="C34" s="407"/>
      <c r="D34" s="368" t="s">
        <v>1886</v>
      </c>
      <c r="E34" s="369">
        <v>0.96</v>
      </c>
      <c r="F34" s="370">
        <v>40.0</v>
      </c>
      <c r="G34" s="369" t="s">
        <v>1849</v>
      </c>
      <c r="H34" s="370">
        <v>40.0</v>
      </c>
      <c r="I34" s="370">
        <v>20.0</v>
      </c>
      <c r="J34" s="370">
        <v>8.0</v>
      </c>
      <c r="K34" s="369">
        <v>50.0</v>
      </c>
      <c r="L34" s="369">
        <v>50.0</v>
      </c>
      <c r="M34" s="369" t="s">
        <v>1850</v>
      </c>
      <c r="N34" s="369" t="s">
        <v>1851</v>
      </c>
      <c r="O34" s="369" t="s">
        <v>1884</v>
      </c>
      <c r="P34" s="383">
        <v>43712.0</v>
      </c>
      <c r="Q34" s="369" t="s">
        <v>1920</v>
      </c>
    </row>
    <row r="35" ht="56.25" customHeight="1">
      <c r="A35" s="372" t="s">
        <v>27</v>
      </c>
      <c r="B35" s="373" t="str">
        <f>HYPERLINK("https://azurlane.koumakan.jp/Twin_127mm_(5%22/38_Mk_38)#Type_3","Twin 127mm MK12 Dual Gun")</f>
        <v>Twin 127mm MK12 Dual Gun</v>
      </c>
      <c r="C35" s="407"/>
      <c r="D35" s="375" t="s">
        <v>1904</v>
      </c>
      <c r="E35" s="376">
        <v>1.53</v>
      </c>
      <c r="F35" s="377">
        <v>34.92</v>
      </c>
      <c r="G35" s="376" t="s">
        <v>1883</v>
      </c>
      <c r="H35" s="377">
        <v>41.9</v>
      </c>
      <c r="I35" s="377">
        <v>20.95</v>
      </c>
      <c r="J35" s="377">
        <v>20.95</v>
      </c>
      <c r="K35" s="376">
        <v>60.0</v>
      </c>
      <c r="L35" s="376">
        <v>50.0</v>
      </c>
      <c r="M35" s="376" t="s">
        <v>1850</v>
      </c>
      <c r="N35" s="376" t="s">
        <v>1851</v>
      </c>
      <c r="O35" s="376" t="s">
        <v>1884</v>
      </c>
      <c r="P35" s="376" t="s">
        <v>1921</v>
      </c>
      <c r="Q35" s="376"/>
    </row>
    <row r="36" ht="56.25" customHeight="1">
      <c r="A36" s="365" t="s">
        <v>27</v>
      </c>
      <c r="B36" s="387" t="s">
        <v>1922</v>
      </c>
      <c r="C36" s="407"/>
      <c r="D36" s="368" t="s">
        <v>1923</v>
      </c>
      <c r="E36" s="369">
        <v>1.5</v>
      </c>
      <c r="F36" s="370">
        <v>41.29</v>
      </c>
      <c r="G36" s="369" t="s">
        <v>1866</v>
      </c>
      <c r="H36" s="370">
        <v>37.16</v>
      </c>
      <c r="I36" s="370">
        <v>28.9</v>
      </c>
      <c r="J36" s="370">
        <v>16.52</v>
      </c>
      <c r="K36" s="369">
        <v>60.0</v>
      </c>
      <c r="L36" s="369">
        <v>50.0</v>
      </c>
      <c r="M36" s="369" t="s">
        <v>1850</v>
      </c>
      <c r="N36" s="369" t="s">
        <v>1851</v>
      </c>
      <c r="O36" s="369" t="s">
        <v>1884</v>
      </c>
      <c r="P36" s="368" t="s">
        <v>1871</v>
      </c>
      <c r="Q36" s="369" t="s">
        <v>1924</v>
      </c>
    </row>
    <row r="37" ht="56.25" customHeight="1">
      <c r="A37" s="372" t="s">
        <v>27</v>
      </c>
      <c r="B37" s="389" t="s">
        <v>1925</v>
      </c>
      <c r="C37" s="407"/>
      <c r="D37" s="375" t="s">
        <v>1906</v>
      </c>
      <c r="E37" s="376">
        <v>1.46</v>
      </c>
      <c r="F37" s="377">
        <v>46.7</v>
      </c>
      <c r="G37" s="376" t="s">
        <v>1849</v>
      </c>
      <c r="H37" s="377">
        <v>46.7</v>
      </c>
      <c r="I37" s="377">
        <v>23.35</v>
      </c>
      <c r="J37" s="377">
        <v>9.34</v>
      </c>
      <c r="K37" s="376">
        <v>55.0</v>
      </c>
      <c r="L37" s="376">
        <v>50.0</v>
      </c>
      <c r="M37" s="376" t="s">
        <v>1850</v>
      </c>
      <c r="N37" s="376" t="s">
        <v>1851</v>
      </c>
      <c r="O37" s="376" t="s">
        <v>1884</v>
      </c>
      <c r="P37" s="375" t="s">
        <v>1871</v>
      </c>
      <c r="Q37" s="376"/>
    </row>
    <row r="38" ht="56.25" customHeight="1">
      <c r="A38" s="365" t="s">
        <v>27</v>
      </c>
      <c r="B38" s="387" t="s">
        <v>1926</v>
      </c>
      <c r="C38" s="407"/>
      <c r="D38" s="368" t="s">
        <v>1927</v>
      </c>
      <c r="E38" s="369">
        <v>1.01</v>
      </c>
      <c r="F38" s="370">
        <v>47.45</v>
      </c>
      <c r="G38" s="369" t="s">
        <v>1849</v>
      </c>
      <c r="H38" s="370">
        <v>47.45</v>
      </c>
      <c r="I38" s="370">
        <v>23.72</v>
      </c>
      <c r="J38" s="370">
        <v>9.49</v>
      </c>
      <c r="K38" s="369">
        <v>50.0</v>
      </c>
      <c r="L38" s="369">
        <v>50.0</v>
      </c>
      <c r="M38" s="369" t="s">
        <v>1850</v>
      </c>
      <c r="N38" s="369" t="s">
        <v>1851</v>
      </c>
      <c r="O38" s="369" t="s">
        <v>1884</v>
      </c>
      <c r="P38" s="369" t="s">
        <v>1928</v>
      </c>
      <c r="Q38" s="408"/>
    </row>
    <row r="39" ht="56.25" customHeight="1">
      <c r="A39" s="372" t="s">
        <v>27</v>
      </c>
      <c r="B39" s="373" t="str">
        <f>HYPERLINK("https://azurlane.koumakan.jp/Single_138.6mm_(Mle_1929)#Type_3","Single 138.6mm (Mle 1929)")</f>
        <v>Single 138.6mm (Mle 1929)</v>
      </c>
      <c r="C39" s="407"/>
      <c r="D39" s="375" t="s">
        <v>1929</v>
      </c>
      <c r="E39" s="376">
        <v>1.6</v>
      </c>
      <c r="F39" s="377">
        <v>40.05</v>
      </c>
      <c r="G39" s="376" t="s">
        <v>1883</v>
      </c>
      <c r="H39" s="377">
        <v>48.06</v>
      </c>
      <c r="I39" s="377">
        <v>24.03</v>
      </c>
      <c r="J39" s="377">
        <v>24.03</v>
      </c>
      <c r="K39" s="376">
        <v>60.0</v>
      </c>
      <c r="L39" s="376">
        <v>50.0</v>
      </c>
      <c r="M39" s="376" t="s">
        <v>1878</v>
      </c>
      <c r="N39" s="376" t="s">
        <v>1851</v>
      </c>
      <c r="O39" s="376" t="s">
        <v>1870</v>
      </c>
      <c r="P39" s="376" t="s">
        <v>1879</v>
      </c>
      <c r="Q39" s="375" t="s">
        <v>1930</v>
      </c>
    </row>
    <row r="40" ht="56.25" customHeight="1">
      <c r="A40" s="365" t="s">
        <v>27</v>
      </c>
      <c r="B40" s="366" t="str">
        <f>HYPERLINK("https://azurlane.koumakan.jp/Twin_130mm_(B-2LM)#Type_3","Twin 130mm (B-2LM)")</f>
        <v>Twin 130mm (B-2LM)</v>
      </c>
      <c r="C40" s="407"/>
      <c r="D40" s="368" t="s">
        <v>1931</v>
      </c>
      <c r="E40" s="369">
        <v>1.73</v>
      </c>
      <c r="F40" s="370">
        <v>52.33</v>
      </c>
      <c r="G40" s="369" t="s">
        <v>1932</v>
      </c>
      <c r="H40" s="370">
        <v>52.33</v>
      </c>
      <c r="I40" s="370">
        <v>28.78</v>
      </c>
      <c r="J40" s="370">
        <v>13.08</v>
      </c>
      <c r="K40" s="369">
        <v>65.0</v>
      </c>
      <c r="L40" s="369">
        <v>65.0</v>
      </c>
      <c r="M40" s="369" t="s">
        <v>1850</v>
      </c>
      <c r="N40" s="369" t="s">
        <v>1933</v>
      </c>
      <c r="O40" s="369" t="s">
        <v>1884</v>
      </c>
      <c r="P40" s="369" t="s">
        <v>1934</v>
      </c>
      <c r="Q40" s="369" t="s">
        <v>1935</v>
      </c>
    </row>
    <row r="41">
      <c r="A41" s="409"/>
      <c r="B41" s="410"/>
      <c r="C41" s="411"/>
      <c r="D41" s="410"/>
      <c r="E41" s="412"/>
      <c r="F41" s="413"/>
      <c r="G41" s="412"/>
      <c r="H41" s="413"/>
      <c r="I41" s="413"/>
      <c r="J41" s="413"/>
      <c r="K41" s="412"/>
      <c r="L41" s="412"/>
      <c r="M41" s="412"/>
      <c r="N41" s="412"/>
      <c r="O41" s="412"/>
      <c r="P41" s="414"/>
      <c r="Q41" s="415"/>
    </row>
    <row r="42" ht="56.25" customHeight="1">
      <c r="A42" s="365" t="s">
        <v>52</v>
      </c>
      <c r="B42" s="366" t="str">
        <f>HYPERLINK("https://azurlane.koumakan.jp/Single_150mm_(6%22/47_caliber_gun)#Type_1","Single 150mm (6""/47 caliber gun)")</f>
        <v>Single 150mm (6"/47 caliber gun)</v>
      </c>
      <c r="C42" s="367"/>
      <c r="D42" s="368" t="s">
        <v>1936</v>
      </c>
      <c r="E42" s="368">
        <v>2.77</v>
      </c>
      <c r="F42" s="392">
        <v>19.13</v>
      </c>
      <c r="G42" s="368" t="s">
        <v>1849</v>
      </c>
      <c r="H42" s="392">
        <v>19.13</v>
      </c>
      <c r="I42" s="392">
        <v>14.35</v>
      </c>
      <c r="J42" s="392">
        <v>7.65</v>
      </c>
      <c r="K42" s="368">
        <v>65.0</v>
      </c>
      <c r="L42" s="368">
        <v>55.0</v>
      </c>
      <c r="M42" s="369" t="s">
        <v>1937</v>
      </c>
      <c r="N42" s="369" t="s">
        <v>1938</v>
      </c>
      <c r="O42" s="368" t="s">
        <v>1939</v>
      </c>
      <c r="P42" s="368" t="s">
        <v>1940</v>
      </c>
      <c r="Q42" s="416"/>
    </row>
    <row r="43" ht="56.25" customHeight="1">
      <c r="A43" s="372" t="s">
        <v>52</v>
      </c>
      <c r="B43" s="373" t="str">
        <f>HYPERLINK("https://azurlane.koumakan.jp/Single_140mm_(3rd_Year_Type)#Type_3","Single 140mm Main Gun")</f>
        <v>Single 140mm Main Gun</v>
      </c>
      <c r="C43" s="374"/>
      <c r="D43" s="375" t="s">
        <v>1941</v>
      </c>
      <c r="E43" s="376">
        <v>4.73</v>
      </c>
      <c r="F43" s="377">
        <v>9.2</v>
      </c>
      <c r="G43" s="376" t="s">
        <v>1942</v>
      </c>
      <c r="H43" s="377">
        <v>13.34</v>
      </c>
      <c r="I43" s="377">
        <v>9.66</v>
      </c>
      <c r="J43" s="377">
        <v>6.44</v>
      </c>
      <c r="K43" s="376">
        <v>63.0</v>
      </c>
      <c r="L43" s="376">
        <v>55.0</v>
      </c>
      <c r="M43" s="376" t="s">
        <v>1876</v>
      </c>
      <c r="N43" s="376" t="s">
        <v>1851</v>
      </c>
      <c r="O43" s="376" t="s">
        <v>1870</v>
      </c>
      <c r="P43" s="378"/>
      <c r="Q43" s="417"/>
    </row>
    <row r="44" ht="56.25" customHeight="1">
      <c r="A44" s="365" t="s">
        <v>52</v>
      </c>
      <c r="B44" s="366" t="str">
        <f>HYPERLINK("https://azurlane.koumakan.jp/Single_152mm_(BL_6%22_Mk_XII)#Type_3","Single 152mm Auxiliary Gun")</f>
        <v>Single 152mm Auxiliary Gun</v>
      </c>
      <c r="C44" s="374"/>
      <c r="D44" s="368" t="s">
        <v>1943</v>
      </c>
      <c r="E44" s="369">
        <v>3.35</v>
      </c>
      <c r="F44" s="370">
        <v>14.59</v>
      </c>
      <c r="G44" s="369" t="s">
        <v>1866</v>
      </c>
      <c r="H44" s="370">
        <v>14.59</v>
      </c>
      <c r="I44" s="370">
        <v>11.67</v>
      </c>
      <c r="J44" s="370">
        <v>8.75</v>
      </c>
      <c r="K44" s="369">
        <v>65.0</v>
      </c>
      <c r="L44" s="369">
        <v>55.0</v>
      </c>
      <c r="M44" s="369" t="s">
        <v>1881</v>
      </c>
      <c r="N44" s="369" t="s">
        <v>1938</v>
      </c>
      <c r="O44" s="369" t="s">
        <v>1939</v>
      </c>
      <c r="P44" s="380"/>
      <c r="Q44" s="416"/>
    </row>
    <row r="45" ht="56.25" customHeight="1">
      <c r="A45" s="372" t="s">
        <v>52</v>
      </c>
      <c r="B45" s="389" t="s">
        <v>1944</v>
      </c>
      <c r="C45" s="374"/>
      <c r="D45" s="375" t="s">
        <v>1945</v>
      </c>
      <c r="E45" s="376">
        <v>3.94</v>
      </c>
      <c r="F45" s="377">
        <v>15.68</v>
      </c>
      <c r="G45" s="376" t="s">
        <v>1946</v>
      </c>
      <c r="H45" s="377">
        <v>18.03</v>
      </c>
      <c r="I45" s="377">
        <v>13.32</v>
      </c>
      <c r="J45" s="377">
        <v>10.19</v>
      </c>
      <c r="K45" s="376">
        <v>70.0</v>
      </c>
      <c r="L45" s="376">
        <v>70.0</v>
      </c>
      <c r="M45" s="376" t="s">
        <v>1947</v>
      </c>
      <c r="N45" s="376" t="s">
        <v>1948</v>
      </c>
      <c r="O45" s="376" t="s">
        <v>1949</v>
      </c>
      <c r="P45" s="376" t="s">
        <v>289</v>
      </c>
      <c r="Q45" s="375"/>
    </row>
    <row r="46" ht="56.25" customHeight="1">
      <c r="A46" s="365" t="s">
        <v>52</v>
      </c>
      <c r="B46" s="366" t="str">
        <f>HYPERLINK("https://azurlane.koumakan.jp/Twin_152mm_(Pattern_1892)","Twin 152mm (Pattern 1892)")</f>
        <v>Twin 152mm (Pattern 1892)</v>
      </c>
      <c r="C46" s="374"/>
      <c r="D46" s="368" t="s">
        <v>1901</v>
      </c>
      <c r="E46" s="369">
        <v>2.83</v>
      </c>
      <c r="F46" s="370">
        <v>19.81</v>
      </c>
      <c r="G46" s="369" t="s">
        <v>1849</v>
      </c>
      <c r="H46" s="370">
        <v>19.81</v>
      </c>
      <c r="I46" s="370">
        <v>14.86</v>
      </c>
      <c r="J46" s="370">
        <v>7.92</v>
      </c>
      <c r="K46" s="369">
        <v>58.0</v>
      </c>
      <c r="L46" s="369">
        <v>55.0</v>
      </c>
      <c r="M46" s="369" t="s">
        <v>1950</v>
      </c>
      <c r="N46" s="369" t="s">
        <v>1938</v>
      </c>
      <c r="O46" s="369" t="s">
        <v>1905</v>
      </c>
      <c r="P46" s="369" t="s">
        <v>1934</v>
      </c>
      <c r="Q46" s="368"/>
    </row>
    <row r="47" ht="56.25" customHeight="1">
      <c r="A47" s="372" t="s">
        <v>52</v>
      </c>
      <c r="B47" s="373" t="str">
        <f>HYPERLINK("https://azurlane.koumakan.jp/Twin_152mm_(6%22/53_Mk_18)#Type_3","Twin 152mm Main Gun")</f>
        <v>Twin 152mm Main Gun</v>
      </c>
      <c r="C47" s="374"/>
      <c r="D47" s="375" t="s">
        <v>1904</v>
      </c>
      <c r="E47" s="376">
        <v>2.8</v>
      </c>
      <c r="F47" s="377">
        <v>21.5</v>
      </c>
      <c r="G47" s="376" t="s">
        <v>1849</v>
      </c>
      <c r="H47" s="377">
        <v>21.5</v>
      </c>
      <c r="I47" s="377">
        <v>16.12</v>
      </c>
      <c r="J47" s="377">
        <v>8.6</v>
      </c>
      <c r="K47" s="376">
        <v>65.0</v>
      </c>
      <c r="L47" s="376">
        <v>55.0</v>
      </c>
      <c r="M47" s="376" t="s">
        <v>1950</v>
      </c>
      <c r="N47" s="376" t="s">
        <v>1938</v>
      </c>
      <c r="O47" s="376" t="s">
        <v>1905</v>
      </c>
      <c r="P47" s="385">
        <v>43528.0</v>
      </c>
      <c r="Q47" s="417"/>
    </row>
    <row r="48" ht="56.25" customHeight="1">
      <c r="A48" s="365" t="s">
        <v>52</v>
      </c>
      <c r="B48" s="387" t="s">
        <v>1951</v>
      </c>
      <c r="C48" s="374"/>
      <c r="D48" s="368" t="s">
        <v>1923</v>
      </c>
      <c r="E48" s="369">
        <v>2.78</v>
      </c>
      <c r="F48" s="370">
        <v>23.01</v>
      </c>
      <c r="G48" s="369" t="s">
        <v>1849</v>
      </c>
      <c r="H48" s="370">
        <v>23.01</v>
      </c>
      <c r="I48" s="370">
        <v>17.25</v>
      </c>
      <c r="J48" s="370">
        <v>9.2</v>
      </c>
      <c r="K48" s="369">
        <v>65.0</v>
      </c>
      <c r="L48" s="369">
        <v>55.0</v>
      </c>
      <c r="M48" s="369" t="s">
        <v>1950</v>
      </c>
      <c r="N48" s="369" t="s">
        <v>1938</v>
      </c>
      <c r="O48" s="369" t="s">
        <v>1905</v>
      </c>
      <c r="P48" s="368" t="s">
        <v>1871</v>
      </c>
      <c r="Q48" s="416"/>
    </row>
    <row r="49" ht="56.25" customHeight="1">
      <c r="A49" s="372" t="s">
        <v>52</v>
      </c>
      <c r="B49" s="373" t="str">
        <f>HYPERLINK("https://azurlane.koumakan.jp/Triple_152mm_(Mle_1930)#Type_3","Triple 152mm Main Gun (Mle 1930)")</f>
        <v>Triple 152mm Main Gun (Mle 1930)</v>
      </c>
      <c r="C49" s="418"/>
      <c r="D49" s="375" t="s">
        <v>1931</v>
      </c>
      <c r="E49" s="375">
        <v>3.6</v>
      </c>
      <c r="F49" s="419">
        <v>24.36</v>
      </c>
      <c r="G49" s="375" t="s">
        <v>1866</v>
      </c>
      <c r="H49" s="419">
        <v>24.36</v>
      </c>
      <c r="I49" s="419">
        <v>19.48</v>
      </c>
      <c r="J49" s="419">
        <v>14.61</v>
      </c>
      <c r="K49" s="375">
        <v>65.0</v>
      </c>
      <c r="L49" s="375">
        <v>55.0</v>
      </c>
      <c r="M49" s="376" t="s">
        <v>1952</v>
      </c>
      <c r="N49" s="376" t="s">
        <v>1938</v>
      </c>
      <c r="O49" s="375" t="s">
        <v>1905</v>
      </c>
      <c r="P49" s="417"/>
      <c r="Q49" s="375"/>
    </row>
    <row r="50" ht="56.25" customHeight="1">
      <c r="A50" s="365" t="s">
        <v>52</v>
      </c>
      <c r="B50" s="387" t="s">
        <v>1953</v>
      </c>
      <c r="C50" s="374"/>
      <c r="D50" s="368" t="s">
        <v>1923</v>
      </c>
      <c r="E50" s="369">
        <v>3.34</v>
      </c>
      <c r="F50" s="370">
        <v>19.45</v>
      </c>
      <c r="G50" s="369" t="s">
        <v>1883</v>
      </c>
      <c r="H50" s="370">
        <v>27.23</v>
      </c>
      <c r="I50" s="370">
        <v>17.5</v>
      </c>
      <c r="J50" s="370">
        <v>13.61</v>
      </c>
      <c r="K50" s="369">
        <v>65.0</v>
      </c>
      <c r="L50" s="369">
        <v>55.0</v>
      </c>
      <c r="M50" s="369" t="s">
        <v>1950</v>
      </c>
      <c r="N50" s="369" t="s">
        <v>1938</v>
      </c>
      <c r="O50" s="369" t="s">
        <v>1905</v>
      </c>
      <c r="P50" s="368" t="s">
        <v>1871</v>
      </c>
      <c r="Q50" s="416"/>
    </row>
    <row r="51" ht="56.25" customHeight="1">
      <c r="A51" s="372" t="s">
        <v>52</v>
      </c>
      <c r="B51" s="389" t="s">
        <v>1954</v>
      </c>
      <c r="C51" s="374"/>
      <c r="D51" s="375" t="s">
        <v>1943</v>
      </c>
      <c r="E51" s="376">
        <v>2.68</v>
      </c>
      <c r="F51" s="377">
        <v>18.4</v>
      </c>
      <c r="G51" s="376" t="s">
        <v>1942</v>
      </c>
      <c r="H51" s="377">
        <v>26.69</v>
      </c>
      <c r="I51" s="377">
        <v>19.33</v>
      </c>
      <c r="J51" s="377">
        <v>12.88</v>
      </c>
      <c r="K51" s="376" t="s">
        <v>1897</v>
      </c>
      <c r="L51" s="376" t="s">
        <v>1897</v>
      </c>
      <c r="M51" s="376" t="s">
        <v>1897</v>
      </c>
      <c r="N51" s="376" t="s">
        <v>1897</v>
      </c>
      <c r="O51" s="376" t="s">
        <v>1870</v>
      </c>
      <c r="P51" s="375" t="s">
        <v>1871</v>
      </c>
      <c r="Q51" s="417"/>
    </row>
    <row r="52" ht="56.25" customHeight="1">
      <c r="A52" s="365" t="s">
        <v>52</v>
      </c>
      <c r="B52" s="366" t="str">
        <f>HYPERLINK("https://azurlane.koumakan.jp/Single_152mm_(6%22/45_Pattern_1892)#Type_3","Single 152mm Main Gun")</f>
        <v>Single 152mm Main Gun</v>
      </c>
      <c r="C52" s="374"/>
      <c r="D52" s="368" t="s">
        <v>1955</v>
      </c>
      <c r="E52" s="369">
        <v>2.43</v>
      </c>
      <c r="F52" s="370">
        <v>36.08</v>
      </c>
      <c r="G52" s="369" t="s">
        <v>1849</v>
      </c>
      <c r="H52" s="370">
        <v>36.08</v>
      </c>
      <c r="I52" s="370">
        <v>27.06</v>
      </c>
      <c r="J52" s="370">
        <v>14.43</v>
      </c>
      <c r="K52" s="369">
        <v>65.0</v>
      </c>
      <c r="L52" s="369">
        <v>55.0</v>
      </c>
      <c r="M52" s="369" t="s">
        <v>1937</v>
      </c>
      <c r="N52" s="369" t="s">
        <v>1938</v>
      </c>
      <c r="O52" s="369" t="s">
        <v>1956</v>
      </c>
      <c r="P52" s="380"/>
      <c r="Q52" s="368" t="s">
        <v>1957</v>
      </c>
    </row>
    <row r="53" ht="56.25" customHeight="1">
      <c r="A53" s="372" t="s">
        <v>52</v>
      </c>
      <c r="B53" s="373" t="str">
        <f>HYPERLINK("https://azurlane.koumakan.jp/Single_155mm_(Mle_1920)#Type_0","Single 155mm Secondary Gun (Mle 1920)")</f>
        <v>Single 155mm Secondary Gun (Mle 1920)</v>
      </c>
      <c r="C53" s="374"/>
      <c r="D53" s="375" t="s">
        <v>1914</v>
      </c>
      <c r="E53" s="376">
        <v>3.33</v>
      </c>
      <c r="F53" s="377">
        <v>22.23</v>
      </c>
      <c r="G53" s="376" t="s">
        <v>1849</v>
      </c>
      <c r="H53" s="377">
        <v>22.23</v>
      </c>
      <c r="I53" s="377">
        <v>16.68</v>
      </c>
      <c r="J53" s="377">
        <v>8.89</v>
      </c>
      <c r="K53" s="376">
        <v>65.0</v>
      </c>
      <c r="L53" s="376">
        <v>55.0</v>
      </c>
      <c r="M53" s="376" t="s">
        <v>1878</v>
      </c>
      <c r="N53" s="376" t="s">
        <v>1938</v>
      </c>
      <c r="O53" s="376" t="s">
        <v>1870</v>
      </c>
      <c r="P53" s="376" t="s">
        <v>1915</v>
      </c>
      <c r="Q53" s="375"/>
    </row>
    <row r="54" ht="56.25" customHeight="1">
      <c r="A54" s="365" t="s">
        <v>52</v>
      </c>
      <c r="B54" s="366" t="str">
        <f>HYPERLINK("https://azurlane.koumakan.jp/Twin_155mm_(Mle_1920)#Type_0","Twin 155mm Main Gun (Mle 1920)")</f>
        <v>Twin 155mm Main Gun (Mle 1920)</v>
      </c>
      <c r="C54" s="374"/>
      <c r="D54" s="368" t="s">
        <v>1914</v>
      </c>
      <c r="E54" s="369">
        <v>3.33</v>
      </c>
      <c r="F54" s="370">
        <v>22.53</v>
      </c>
      <c r="G54" s="369" t="s">
        <v>1849</v>
      </c>
      <c r="H54" s="370">
        <v>22.53</v>
      </c>
      <c r="I54" s="370">
        <v>16.9</v>
      </c>
      <c r="J54" s="370">
        <v>9.01</v>
      </c>
      <c r="K54" s="369">
        <v>65.0</v>
      </c>
      <c r="L54" s="369">
        <v>55.0</v>
      </c>
      <c r="M54" s="369" t="s">
        <v>1850</v>
      </c>
      <c r="N54" s="369" t="s">
        <v>1938</v>
      </c>
      <c r="O54" s="369" t="s">
        <v>1884</v>
      </c>
      <c r="P54" s="369" t="s">
        <v>1915</v>
      </c>
      <c r="Q54" s="368"/>
    </row>
    <row r="55" ht="56.25" customHeight="1">
      <c r="A55" s="372" t="s">
        <v>52</v>
      </c>
      <c r="B55" s="373" t="str">
        <f>HYPERLINK("https://azurlane.koumakan.jp/Triple_150mm_(SK_C/25)#Type_3","Triple 150mm Main Gun (SK C/25)")</f>
        <v>Triple 150mm Main Gun (SK C/25)</v>
      </c>
      <c r="C55" s="394"/>
      <c r="D55" s="375" t="s">
        <v>1945</v>
      </c>
      <c r="E55" s="376">
        <v>5.36</v>
      </c>
      <c r="F55" s="377">
        <v>11.16</v>
      </c>
      <c r="G55" s="376" t="s">
        <v>1866</v>
      </c>
      <c r="H55" s="377">
        <v>11.16</v>
      </c>
      <c r="I55" s="377">
        <v>8.92</v>
      </c>
      <c r="J55" s="377">
        <v>6.69</v>
      </c>
      <c r="K55" s="376">
        <v>65.0</v>
      </c>
      <c r="L55" s="376">
        <v>55.0</v>
      </c>
      <c r="M55" s="376" t="s">
        <v>1876</v>
      </c>
      <c r="N55" s="376" t="s">
        <v>1938</v>
      </c>
      <c r="O55" s="376" t="s">
        <v>1870</v>
      </c>
      <c r="P55" s="378"/>
      <c r="Q55" s="417"/>
    </row>
    <row r="56" ht="56.25" customHeight="1">
      <c r="A56" s="365" t="s">
        <v>52</v>
      </c>
      <c r="B56" s="366" t="str">
        <f>HYPERLINK("https://azurlane.koumakan.jp/Single_150mm_(SK_C/28)#Type_3","Single 150mm Main Gun (SK C/28)")</f>
        <v>Single 150mm Main Gun (SK C/28)</v>
      </c>
      <c r="C56" s="394"/>
      <c r="D56" s="368" t="s">
        <v>1958</v>
      </c>
      <c r="E56" s="369">
        <v>1.38</v>
      </c>
      <c r="F56" s="370">
        <v>13.92</v>
      </c>
      <c r="G56" s="369" t="s">
        <v>1866</v>
      </c>
      <c r="H56" s="370">
        <v>13.92</v>
      </c>
      <c r="I56" s="370">
        <v>11.13</v>
      </c>
      <c r="J56" s="370">
        <v>8.35</v>
      </c>
      <c r="K56" s="369">
        <v>65.0</v>
      </c>
      <c r="L56" s="369">
        <v>55.0</v>
      </c>
      <c r="M56" s="369" t="s">
        <v>1856</v>
      </c>
      <c r="N56" s="369" t="s">
        <v>1938</v>
      </c>
      <c r="O56" s="369" t="s">
        <v>1857</v>
      </c>
      <c r="P56" s="369" t="s">
        <v>1959</v>
      </c>
      <c r="Q56" s="416"/>
    </row>
    <row r="57" ht="56.25" customHeight="1">
      <c r="A57" s="372" t="s">
        <v>52</v>
      </c>
      <c r="B57" s="389" t="s">
        <v>1960</v>
      </c>
      <c r="C57" s="394"/>
      <c r="D57" s="375" t="s">
        <v>1910</v>
      </c>
      <c r="E57" s="376">
        <v>2.19</v>
      </c>
      <c r="F57" s="377">
        <v>18.39</v>
      </c>
      <c r="G57" s="376" t="s">
        <v>1866</v>
      </c>
      <c r="H57" s="377">
        <v>18.39</v>
      </c>
      <c r="I57" s="377">
        <v>14.71</v>
      </c>
      <c r="J57" s="377">
        <v>11.03</v>
      </c>
      <c r="K57" s="376">
        <v>65.0</v>
      </c>
      <c r="L57" s="376">
        <v>45.0</v>
      </c>
      <c r="M57" s="376" t="s">
        <v>1876</v>
      </c>
      <c r="N57" s="376" t="s">
        <v>1938</v>
      </c>
      <c r="O57" s="376" t="s">
        <v>1905</v>
      </c>
      <c r="P57" s="376" t="s">
        <v>1871</v>
      </c>
      <c r="Q57" s="417"/>
    </row>
    <row r="58" ht="56.25" customHeight="1">
      <c r="A58" s="365" t="s">
        <v>52</v>
      </c>
      <c r="B58" s="387" t="s">
        <v>1961</v>
      </c>
      <c r="C58" s="394"/>
      <c r="D58" s="368" t="s">
        <v>1962</v>
      </c>
      <c r="E58" s="369">
        <v>3.11</v>
      </c>
      <c r="F58" s="370">
        <v>26.02</v>
      </c>
      <c r="G58" s="369" t="s">
        <v>1866</v>
      </c>
      <c r="H58" s="370">
        <v>26.02</v>
      </c>
      <c r="I58" s="370">
        <v>20.81</v>
      </c>
      <c r="J58" s="370">
        <v>15.61</v>
      </c>
      <c r="K58" s="369">
        <v>65.0</v>
      </c>
      <c r="L58" s="369">
        <v>55.0</v>
      </c>
      <c r="M58" s="369" t="s">
        <v>1907</v>
      </c>
      <c r="N58" s="369" t="s">
        <v>1938</v>
      </c>
      <c r="O58" s="369" t="s">
        <v>1905</v>
      </c>
      <c r="P58" s="368" t="s">
        <v>1871</v>
      </c>
      <c r="Q58" s="416"/>
    </row>
    <row r="59" ht="56.25" customHeight="1">
      <c r="A59" s="372" t="s">
        <v>52</v>
      </c>
      <c r="B59" s="373" t="str">
        <f>HYPERLINK("https://azurlane.koumakan.jp/Twin_140mm_(3rd_Year_Type)#Type_3","Twin 140mm Mounted Gun")</f>
        <v>Twin 140mm Mounted Gun</v>
      </c>
      <c r="C59" s="394"/>
      <c r="D59" s="375" t="s">
        <v>1906</v>
      </c>
      <c r="E59" s="376">
        <v>3.08</v>
      </c>
      <c r="F59" s="377">
        <v>22.33</v>
      </c>
      <c r="G59" s="376" t="s">
        <v>1883</v>
      </c>
      <c r="H59" s="377">
        <v>31.26</v>
      </c>
      <c r="I59" s="377">
        <v>20.1</v>
      </c>
      <c r="J59" s="377">
        <v>15.63</v>
      </c>
      <c r="K59" s="376">
        <v>63.0</v>
      </c>
      <c r="L59" s="376">
        <v>55.0</v>
      </c>
      <c r="M59" s="376" t="s">
        <v>1950</v>
      </c>
      <c r="N59" s="376" t="s">
        <v>1938</v>
      </c>
      <c r="O59" s="376" t="s">
        <v>1939</v>
      </c>
      <c r="P59" s="385">
        <v>43528.0</v>
      </c>
      <c r="Q59" s="417"/>
    </row>
    <row r="60" ht="56.25" customHeight="1">
      <c r="A60" s="365" t="s">
        <v>52</v>
      </c>
      <c r="B60" s="366" t="str">
        <f>HYPERLINK("https://azurlane.koumakan.jp/Twin_152mm_(BL_6%22_Mk_XXII)#Type_3","Twin 152mm Main Gun")</f>
        <v>Twin 152mm Main Gun</v>
      </c>
      <c r="C60" s="394"/>
      <c r="D60" s="368" t="s">
        <v>1963</v>
      </c>
      <c r="E60" s="369">
        <v>3.39</v>
      </c>
      <c r="F60" s="370">
        <v>26.38</v>
      </c>
      <c r="G60" s="369" t="s">
        <v>1866</v>
      </c>
      <c r="H60" s="370">
        <v>26.38</v>
      </c>
      <c r="I60" s="370">
        <v>21.1</v>
      </c>
      <c r="J60" s="370">
        <v>15.83</v>
      </c>
      <c r="K60" s="369">
        <v>65.0</v>
      </c>
      <c r="L60" s="369">
        <v>55.0</v>
      </c>
      <c r="M60" s="369" t="s">
        <v>1950</v>
      </c>
      <c r="N60" s="369" t="s">
        <v>1938</v>
      </c>
      <c r="O60" s="369" t="s">
        <v>1905</v>
      </c>
      <c r="P60" s="369" t="s">
        <v>1964</v>
      </c>
      <c r="Q60" s="416"/>
    </row>
    <row r="61" ht="56.25" customHeight="1">
      <c r="A61" s="372" t="s">
        <v>52</v>
      </c>
      <c r="B61" s="373" t="str">
        <f>HYPERLINK("https://azurlane.koumakan.jp/Twin_152mm_(41st_Year_Type)#Type_3","Twin 152mm (45 caliber Pattern 1892)")</f>
        <v>Twin 152mm (45 caliber Pattern 1892)</v>
      </c>
      <c r="C61" s="394"/>
      <c r="D61" s="375" t="s">
        <v>1965</v>
      </c>
      <c r="E61" s="376">
        <v>4.06</v>
      </c>
      <c r="F61" s="377">
        <v>23.23</v>
      </c>
      <c r="G61" s="376" t="s">
        <v>1883</v>
      </c>
      <c r="H61" s="377">
        <v>32.52</v>
      </c>
      <c r="I61" s="377">
        <v>20.9</v>
      </c>
      <c r="J61" s="377">
        <v>16.26</v>
      </c>
      <c r="K61" s="376">
        <v>64.0</v>
      </c>
      <c r="L61" s="376">
        <v>55.0</v>
      </c>
      <c r="M61" s="376" t="s">
        <v>1950</v>
      </c>
      <c r="N61" s="376" t="s">
        <v>1938</v>
      </c>
      <c r="O61" s="376" t="s">
        <v>1939</v>
      </c>
      <c r="P61" s="378"/>
      <c r="Q61" s="375"/>
    </row>
    <row r="62" ht="56.25" customHeight="1">
      <c r="A62" s="365" t="s">
        <v>52</v>
      </c>
      <c r="B62" s="387" t="s">
        <v>1966</v>
      </c>
      <c r="C62" s="394"/>
      <c r="D62" s="368" t="s">
        <v>1967</v>
      </c>
      <c r="E62" s="369">
        <v>4.13</v>
      </c>
      <c r="F62" s="370">
        <v>31.43</v>
      </c>
      <c r="G62" s="369" t="s">
        <v>1866</v>
      </c>
      <c r="H62" s="370">
        <v>31.43</v>
      </c>
      <c r="I62" s="370">
        <v>25.14</v>
      </c>
      <c r="J62" s="370">
        <v>18.86</v>
      </c>
      <c r="K62" s="369">
        <v>65.0</v>
      </c>
      <c r="L62" s="369">
        <v>55.0</v>
      </c>
      <c r="M62" s="369" t="s">
        <v>1952</v>
      </c>
      <c r="N62" s="369" t="s">
        <v>1938</v>
      </c>
      <c r="O62" s="369" t="s">
        <v>1905</v>
      </c>
      <c r="P62" s="369" t="s">
        <v>1968</v>
      </c>
      <c r="Q62" s="416"/>
    </row>
    <row r="63" ht="56.25" customHeight="1">
      <c r="A63" s="372" t="s">
        <v>52</v>
      </c>
      <c r="B63" s="373" t="str">
        <f>HYPERLINK("https://azurlane.koumakan.jp/Triple_152mm_(6%22/47_Mk_16)#Type_3","Triple 152mm Main Gun")</f>
        <v>Triple 152mm Main Gun</v>
      </c>
      <c r="C63" s="394"/>
      <c r="D63" s="375" t="s">
        <v>1969</v>
      </c>
      <c r="E63" s="376">
        <v>4.59</v>
      </c>
      <c r="F63" s="377">
        <v>24.58</v>
      </c>
      <c r="G63" s="376" t="s">
        <v>1883</v>
      </c>
      <c r="H63" s="377">
        <v>34.41</v>
      </c>
      <c r="I63" s="377">
        <v>22.12</v>
      </c>
      <c r="J63" s="377">
        <v>17.21</v>
      </c>
      <c r="K63" s="376">
        <v>65.0</v>
      </c>
      <c r="L63" s="376">
        <v>55.0</v>
      </c>
      <c r="M63" s="376" t="s">
        <v>1952</v>
      </c>
      <c r="N63" s="376" t="s">
        <v>1938</v>
      </c>
      <c r="O63" s="376" t="s">
        <v>1905</v>
      </c>
      <c r="P63" s="376" t="s">
        <v>1970</v>
      </c>
      <c r="Q63" s="375" t="s">
        <v>1971</v>
      </c>
    </row>
    <row r="64" ht="56.25" customHeight="1">
      <c r="A64" s="404" t="s">
        <v>52</v>
      </c>
      <c r="B64" s="405" t="str">
        <f>HYPERLINK("https://azurlane.koumakan.jp/Triple_155mm_(3rd_Year_Type)#Type_2","Triple 155mm Mounted Gun")</f>
        <v>Triple 155mm Mounted Gun</v>
      </c>
      <c r="C64" s="403"/>
      <c r="D64" s="400" t="s">
        <v>1972</v>
      </c>
      <c r="E64" s="369">
        <v>4.26</v>
      </c>
      <c r="F64" s="370">
        <v>22.84</v>
      </c>
      <c r="G64" s="401" t="s">
        <v>1942</v>
      </c>
      <c r="H64" s="370">
        <v>33.11</v>
      </c>
      <c r="I64" s="370">
        <v>23.98</v>
      </c>
      <c r="J64" s="370">
        <v>15.99</v>
      </c>
      <c r="K64" s="369">
        <v>65.0</v>
      </c>
      <c r="L64" s="369">
        <v>55.0</v>
      </c>
      <c r="M64" s="369" t="s">
        <v>1947</v>
      </c>
      <c r="N64" s="401" t="s">
        <v>1938</v>
      </c>
      <c r="O64" s="401" t="s">
        <v>1973</v>
      </c>
      <c r="P64" s="369" t="s">
        <v>1974</v>
      </c>
      <c r="Q64" s="416"/>
    </row>
    <row r="65" ht="56.25" customHeight="1">
      <c r="A65" s="372" t="s">
        <v>52</v>
      </c>
      <c r="B65" s="373" t="str">
        <f>HYPERLINK("https://azurlane.koumakan.jp/Triple_152mm_(MK-5)#Type_2","Triple 152mm (MK-5)")</f>
        <v>Triple 152mm (MK-5)</v>
      </c>
      <c r="C65" s="394"/>
      <c r="D65" s="375" t="s">
        <v>1931</v>
      </c>
      <c r="E65" s="376">
        <v>3.66</v>
      </c>
      <c r="F65" s="377">
        <v>23.11</v>
      </c>
      <c r="G65" s="376" t="s">
        <v>1942</v>
      </c>
      <c r="H65" s="377">
        <v>33.5</v>
      </c>
      <c r="I65" s="377">
        <v>24.26</v>
      </c>
      <c r="J65" s="377">
        <v>16.17</v>
      </c>
      <c r="K65" s="376">
        <v>68.0</v>
      </c>
      <c r="L65" s="376">
        <v>55.0</v>
      </c>
      <c r="M65" s="376" t="s">
        <v>1947</v>
      </c>
      <c r="N65" s="376" t="s">
        <v>1948</v>
      </c>
      <c r="O65" s="376" t="s">
        <v>1975</v>
      </c>
      <c r="P65" s="376" t="s">
        <v>1934</v>
      </c>
      <c r="Q65" s="375"/>
    </row>
    <row r="66" ht="56.25" customHeight="1">
      <c r="A66" s="365" t="s">
        <v>52</v>
      </c>
      <c r="B66" s="366" t="str">
        <f>HYPERLINK("https://azurlane.koumakan.jp/Twin_150mm_(TbtsK_C/36)#Type_3","Twin 150mm Main Gun (TbtsK C/36)")</f>
        <v>Twin 150mm Main Gun (TbtsK C/36)</v>
      </c>
      <c r="C66" s="394"/>
      <c r="D66" s="368" t="s">
        <v>1962</v>
      </c>
      <c r="E66" s="369">
        <v>3.0</v>
      </c>
      <c r="F66" s="370">
        <v>26.09</v>
      </c>
      <c r="G66" s="369" t="s">
        <v>1866</v>
      </c>
      <c r="H66" s="370">
        <v>26.09</v>
      </c>
      <c r="I66" s="370">
        <v>20.88</v>
      </c>
      <c r="J66" s="370">
        <v>15.66</v>
      </c>
      <c r="K66" s="369">
        <v>65.0</v>
      </c>
      <c r="L66" s="369">
        <v>55.0</v>
      </c>
      <c r="M66" s="369" t="s">
        <v>1850</v>
      </c>
      <c r="N66" s="369" t="s">
        <v>1938</v>
      </c>
      <c r="O66" s="369" t="s">
        <v>1884</v>
      </c>
      <c r="P66" s="369" t="s">
        <v>1976</v>
      </c>
      <c r="Q66" s="368" t="s">
        <v>1977</v>
      </c>
    </row>
    <row r="67" ht="56.25" customHeight="1">
      <c r="A67" s="372" t="s">
        <v>52</v>
      </c>
      <c r="B67" s="389" t="s">
        <v>1978</v>
      </c>
      <c r="C67" s="407"/>
      <c r="D67" s="375" t="s">
        <v>1979</v>
      </c>
      <c r="E67" s="376">
        <v>4.58</v>
      </c>
      <c r="F67" s="377">
        <v>25.15</v>
      </c>
      <c r="G67" s="376" t="s">
        <v>1942</v>
      </c>
      <c r="H67" s="377">
        <v>36.47</v>
      </c>
      <c r="I67" s="377">
        <v>26.41</v>
      </c>
      <c r="J67" s="377">
        <v>17.6</v>
      </c>
      <c r="K67" s="376">
        <v>65.0</v>
      </c>
      <c r="L67" s="376">
        <v>55.0</v>
      </c>
      <c r="M67" s="376" t="s">
        <v>1980</v>
      </c>
      <c r="N67" s="376" t="s">
        <v>1938</v>
      </c>
      <c r="O67" s="376" t="s">
        <v>1973</v>
      </c>
      <c r="P67" s="375" t="s">
        <v>1871</v>
      </c>
      <c r="Q67" s="375"/>
    </row>
    <row r="68" ht="56.25" customHeight="1">
      <c r="A68" s="365" t="s">
        <v>52</v>
      </c>
      <c r="B68" s="366" t="str">
        <f>HYPERLINK("https://azurlane.koumakan.jp/Triple_155mm_(3rd_Year_Type)#Type_3","Triple 155mm Mounted Gun")</f>
        <v>Triple 155mm Mounted Gun</v>
      </c>
      <c r="C68" s="407"/>
      <c r="D68" s="368" t="s">
        <v>1981</v>
      </c>
      <c r="E68" s="369">
        <v>4.12</v>
      </c>
      <c r="F68" s="370">
        <v>24.92</v>
      </c>
      <c r="G68" s="369" t="s">
        <v>1942</v>
      </c>
      <c r="H68" s="370">
        <v>36.14</v>
      </c>
      <c r="I68" s="370">
        <v>26.17</v>
      </c>
      <c r="J68" s="370">
        <v>17.45</v>
      </c>
      <c r="K68" s="369">
        <v>65.0</v>
      </c>
      <c r="L68" s="369">
        <v>55.0</v>
      </c>
      <c r="M68" s="369" t="s">
        <v>1947</v>
      </c>
      <c r="N68" s="369" t="s">
        <v>1938</v>
      </c>
      <c r="O68" s="369" t="s">
        <v>1973</v>
      </c>
      <c r="P68" s="369" t="s">
        <v>1982</v>
      </c>
      <c r="Q68" s="368" t="s">
        <v>1983</v>
      </c>
    </row>
    <row r="69" ht="56.25" customHeight="1">
      <c r="A69" s="372" t="s">
        <v>52</v>
      </c>
      <c r="B69" s="389" t="s">
        <v>1984</v>
      </c>
      <c r="C69" s="407"/>
      <c r="D69" s="375" t="s">
        <v>1931</v>
      </c>
      <c r="E69" s="376">
        <v>3.5</v>
      </c>
      <c r="F69" s="377">
        <v>24.05</v>
      </c>
      <c r="G69" s="376" t="s">
        <v>1985</v>
      </c>
      <c r="H69" s="377">
        <v>24.05</v>
      </c>
      <c r="I69" s="377">
        <v>24.05</v>
      </c>
      <c r="J69" s="377">
        <v>14.43</v>
      </c>
      <c r="K69" s="376">
        <v>65.0</v>
      </c>
      <c r="L69" s="376">
        <v>65.0</v>
      </c>
      <c r="M69" s="376" t="s">
        <v>1947</v>
      </c>
      <c r="N69" s="376" t="s">
        <v>1986</v>
      </c>
      <c r="O69" s="376" t="s">
        <v>1975</v>
      </c>
      <c r="P69" s="375" t="s">
        <v>369</v>
      </c>
      <c r="Q69" s="375"/>
    </row>
    <row r="70" ht="56.25" customHeight="1">
      <c r="A70" s="365" t="s">
        <v>52</v>
      </c>
      <c r="B70" s="366" t="str">
        <f>HYPERLINK("https://azurlane.koumakan.jp/Triple_152mm_(BL_6%22_Mk_XXV_Prototype)#Type_0","Triple 152mm Prototype (BL 6"" Mk XXV)")</f>
        <v>Triple 152mm Prototype (BL 6" Mk XXV)</v>
      </c>
      <c r="C70" s="407"/>
      <c r="D70" s="368" t="s">
        <v>1987</v>
      </c>
      <c r="E70" s="369">
        <v>2.86</v>
      </c>
      <c r="F70" s="370">
        <v>24.08</v>
      </c>
      <c r="G70" s="369" t="s">
        <v>1988</v>
      </c>
      <c r="H70" s="370">
        <v>26.48</v>
      </c>
      <c r="I70" s="370">
        <v>21.67</v>
      </c>
      <c r="J70" s="370">
        <v>16.85</v>
      </c>
      <c r="K70" s="369">
        <v>68.0</v>
      </c>
      <c r="L70" s="369">
        <v>70.0</v>
      </c>
      <c r="M70" s="369" t="s">
        <v>1947</v>
      </c>
      <c r="N70" s="369" t="s">
        <v>1986</v>
      </c>
      <c r="O70" s="369" t="s">
        <v>1989</v>
      </c>
      <c r="P70" s="368" t="s">
        <v>1990</v>
      </c>
      <c r="Q70" s="368" t="s">
        <v>1991</v>
      </c>
    </row>
    <row r="71" ht="56.25" customHeight="1">
      <c r="A71" s="372" t="s">
        <v>52</v>
      </c>
      <c r="B71" s="389" t="s">
        <v>1992</v>
      </c>
      <c r="C71" s="407"/>
      <c r="D71" s="375" t="s">
        <v>1967</v>
      </c>
      <c r="E71" s="376">
        <v>4.72</v>
      </c>
      <c r="F71" s="377">
        <v>28.47</v>
      </c>
      <c r="G71" s="376" t="s">
        <v>1993</v>
      </c>
      <c r="H71" s="377">
        <v>28.47</v>
      </c>
      <c r="I71" s="377">
        <v>27.05</v>
      </c>
      <c r="J71" s="377">
        <v>15.66</v>
      </c>
      <c r="K71" s="376">
        <v>65.0</v>
      </c>
      <c r="L71" s="376">
        <v>60.0</v>
      </c>
      <c r="M71" s="376" t="s">
        <v>1860</v>
      </c>
      <c r="N71" s="376" t="s">
        <v>1994</v>
      </c>
      <c r="O71" s="376" t="s">
        <v>1884</v>
      </c>
      <c r="P71" s="375" t="s">
        <v>1871</v>
      </c>
      <c r="Q71" s="375"/>
    </row>
    <row r="72" ht="56.25" customHeight="1">
      <c r="A72" s="365" t="s">
        <v>52</v>
      </c>
      <c r="B72" s="366" t="str">
        <f>HYPERLINK("https://azurlane.koumakan.jp/Triple_152mm_(MK-5)#Type_3","Triple 152mm (MK-5)")</f>
        <v>Triple 152mm (MK-5)</v>
      </c>
      <c r="C72" s="407"/>
      <c r="D72" s="368" t="s">
        <v>1995</v>
      </c>
      <c r="E72" s="369">
        <v>3.56</v>
      </c>
      <c r="F72" s="370">
        <v>25.26</v>
      </c>
      <c r="G72" s="369" t="s">
        <v>1942</v>
      </c>
      <c r="H72" s="370">
        <v>36.63</v>
      </c>
      <c r="I72" s="370">
        <v>26.53</v>
      </c>
      <c r="J72" s="370">
        <v>17.68</v>
      </c>
      <c r="K72" s="369">
        <v>68.0</v>
      </c>
      <c r="L72" s="369">
        <v>55.0</v>
      </c>
      <c r="M72" s="369" t="s">
        <v>1947</v>
      </c>
      <c r="N72" s="369" t="s">
        <v>1948</v>
      </c>
      <c r="O72" s="369" t="s">
        <v>1975</v>
      </c>
      <c r="P72" s="369" t="s">
        <v>1934</v>
      </c>
      <c r="Q72" s="368"/>
    </row>
    <row r="73" ht="56.25" customHeight="1">
      <c r="A73" s="372" t="s">
        <v>52</v>
      </c>
      <c r="B73" s="389" t="s">
        <v>1996</v>
      </c>
      <c r="C73" s="407"/>
      <c r="D73" s="375" t="s">
        <v>1969</v>
      </c>
      <c r="E73" s="376">
        <v>4.28</v>
      </c>
      <c r="F73" s="377">
        <v>25.69</v>
      </c>
      <c r="G73" s="376" t="s">
        <v>1997</v>
      </c>
      <c r="H73" s="377">
        <v>38.53</v>
      </c>
      <c r="I73" s="377">
        <v>26.97</v>
      </c>
      <c r="J73" s="377">
        <v>17.98</v>
      </c>
      <c r="K73" s="376">
        <v>65.0</v>
      </c>
      <c r="L73" s="376">
        <v>62.0</v>
      </c>
      <c r="M73" s="376" t="s">
        <v>1947</v>
      </c>
      <c r="N73" s="376" t="s">
        <v>1938</v>
      </c>
      <c r="O73" s="376" t="s">
        <v>1975</v>
      </c>
      <c r="P73" s="376" t="s">
        <v>1871</v>
      </c>
      <c r="Q73" s="375"/>
    </row>
    <row r="74" ht="56.25" customHeight="1">
      <c r="A74" s="365" t="s">
        <v>52</v>
      </c>
      <c r="B74" s="366" t="str">
        <f>HYPERLINK("https://azurlane.koumakan.jp/Triple_152mm_(6%22/47_Mk_17_DP_Prototype)#Type_0","Triple 152mm (Mark 17 Prototype)")</f>
        <v>Triple 152mm (Mark 17 Prototype)</v>
      </c>
      <c r="C74" s="407"/>
      <c r="D74" s="368" t="s">
        <v>1931</v>
      </c>
      <c r="E74" s="369">
        <v>3.27</v>
      </c>
      <c r="F74" s="370">
        <v>25.54</v>
      </c>
      <c r="G74" s="369" t="s">
        <v>1998</v>
      </c>
      <c r="H74" s="370">
        <v>37.03</v>
      </c>
      <c r="I74" s="370">
        <v>28.09</v>
      </c>
      <c r="J74" s="370">
        <v>19.16</v>
      </c>
      <c r="K74" s="369">
        <v>68.0</v>
      </c>
      <c r="L74" s="369">
        <v>70.0</v>
      </c>
      <c r="M74" s="369" t="s">
        <v>1999</v>
      </c>
      <c r="N74" s="369" t="s">
        <v>1986</v>
      </c>
      <c r="O74" s="369" t="s">
        <v>1975</v>
      </c>
      <c r="P74" s="368" t="s">
        <v>2000</v>
      </c>
      <c r="Q74" s="368" t="s">
        <v>2001</v>
      </c>
    </row>
    <row r="75">
      <c r="A75" s="409"/>
      <c r="B75" s="410"/>
      <c r="C75" s="411"/>
      <c r="D75" s="412"/>
      <c r="E75" s="412"/>
      <c r="F75" s="413"/>
      <c r="G75" s="412"/>
      <c r="H75" s="413"/>
      <c r="I75" s="413"/>
      <c r="J75" s="413"/>
      <c r="K75" s="412"/>
      <c r="L75" s="412"/>
      <c r="M75" s="412"/>
      <c r="N75" s="412"/>
      <c r="O75" s="412"/>
      <c r="P75" s="420"/>
      <c r="Q75" s="415"/>
    </row>
    <row r="76" ht="56.25" customHeight="1">
      <c r="A76" s="365" t="s">
        <v>66</v>
      </c>
      <c r="B76" s="366" t="str">
        <f>HYPERLINK("https://azurlane.koumakan.jp/Twin_203mm_(Model_1924)#Type_1","Twin 203mm Main Gun (M1924)")</f>
        <v>Twin 203mm Main Gun (M1924)</v>
      </c>
      <c r="C76" s="367"/>
      <c r="D76" s="369" t="s">
        <v>2002</v>
      </c>
      <c r="E76" s="369">
        <v>9.88</v>
      </c>
      <c r="F76" s="370">
        <v>11.54</v>
      </c>
      <c r="G76" s="369" t="s">
        <v>1849</v>
      </c>
      <c r="H76" s="370">
        <v>11.54</v>
      </c>
      <c r="I76" s="370">
        <v>10.38</v>
      </c>
      <c r="J76" s="370">
        <v>5.77</v>
      </c>
      <c r="K76" s="369">
        <v>70.0</v>
      </c>
      <c r="L76" s="369">
        <v>50.0</v>
      </c>
      <c r="M76" s="369" t="s">
        <v>2003</v>
      </c>
      <c r="N76" s="401" t="s">
        <v>1937</v>
      </c>
      <c r="O76" s="369" t="s">
        <v>1975</v>
      </c>
      <c r="P76" s="368" t="s">
        <v>1885</v>
      </c>
      <c r="Q76" s="416"/>
    </row>
    <row r="77" ht="56.25" customHeight="1">
      <c r="A77" s="372" t="s">
        <v>66</v>
      </c>
      <c r="B77" s="373" t="str">
        <f>HYPERLINK("https://azurlane.koumakan.jp/Triple_203mm_(8%22/55_Mk_9)#Type_3","Triple 203mm Main Gun")</f>
        <v>Triple 203mm Main Gun</v>
      </c>
      <c r="C77" s="418"/>
      <c r="D77" s="376" t="s">
        <v>2004</v>
      </c>
      <c r="E77" s="376">
        <v>6.48</v>
      </c>
      <c r="F77" s="377">
        <v>18.12</v>
      </c>
      <c r="G77" s="376" t="s">
        <v>1883</v>
      </c>
      <c r="H77" s="377">
        <v>24.46</v>
      </c>
      <c r="I77" s="377">
        <v>17.21</v>
      </c>
      <c r="J77" s="377">
        <v>12.68</v>
      </c>
      <c r="K77" s="376">
        <v>70.0</v>
      </c>
      <c r="L77" s="376">
        <v>50.0</v>
      </c>
      <c r="M77" s="376" t="s">
        <v>1907</v>
      </c>
      <c r="N77" s="376" t="s">
        <v>1937</v>
      </c>
      <c r="O77" s="376" t="s">
        <v>1905</v>
      </c>
      <c r="P77" s="385">
        <v>43469.0</v>
      </c>
      <c r="Q77" s="417"/>
    </row>
    <row r="78" ht="56.25" customHeight="1">
      <c r="A78" s="365" t="s">
        <v>66</v>
      </c>
      <c r="B78" s="387" t="s">
        <v>2005</v>
      </c>
      <c r="C78" s="418"/>
      <c r="D78" s="369" t="s">
        <v>2006</v>
      </c>
      <c r="E78" s="369">
        <v>6.33</v>
      </c>
      <c r="F78" s="370">
        <v>20.9</v>
      </c>
      <c r="G78" s="369" t="s">
        <v>1883</v>
      </c>
      <c r="H78" s="370">
        <v>28.22</v>
      </c>
      <c r="I78" s="370">
        <v>19.86</v>
      </c>
      <c r="J78" s="370">
        <v>14.63</v>
      </c>
      <c r="K78" s="369">
        <v>70.0</v>
      </c>
      <c r="L78" s="369">
        <v>50.0</v>
      </c>
      <c r="M78" s="369" t="s">
        <v>1907</v>
      </c>
      <c r="N78" s="369" t="s">
        <v>1937</v>
      </c>
      <c r="O78" s="369" t="s">
        <v>1905</v>
      </c>
      <c r="P78" s="368" t="s">
        <v>1871</v>
      </c>
      <c r="Q78" s="416"/>
    </row>
    <row r="79" ht="56.25" customHeight="1">
      <c r="A79" s="372" t="s">
        <v>66</v>
      </c>
      <c r="B79" s="373" t="str">
        <f>HYPERLINK("https://azurlane.koumakan.jp/Twin_203mm_(Mle_1924_Submarine-mount)#Type_0","Sub-mounted Twin 203mm (Mle 1924)")</f>
        <v>Sub-mounted Twin 203mm (Mle 1924)</v>
      </c>
      <c r="C79" s="418"/>
      <c r="D79" s="376" t="s">
        <v>2007</v>
      </c>
      <c r="E79" s="376">
        <v>3.06</v>
      </c>
      <c r="F79" s="377">
        <v>36.99</v>
      </c>
      <c r="G79" s="376" t="s">
        <v>1849</v>
      </c>
      <c r="H79" s="377">
        <v>36.99</v>
      </c>
      <c r="I79" s="377">
        <v>33.3</v>
      </c>
      <c r="J79" s="377">
        <v>18.5</v>
      </c>
      <c r="K79" s="376">
        <v>80.0</v>
      </c>
      <c r="L79" s="376">
        <v>65.0</v>
      </c>
      <c r="M79" s="376" t="s">
        <v>2003</v>
      </c>
      <c r="N79" s="376" t="s">
        <v>1937</v>
      </c>
      <c r="O79" s="376" t="s">
        <v>1884</v>
      </c>
      <c r="P79" s="376" t="s">
        <v>2008</v>
      </c>
      <c r="Q79" s="375" t="s">
        <v>2009</v>
      </c>
    </row>
    <row r="80" ht="56.25" customHeight="1">
      <c r="A80" s="365" t="s">
        <v>66</v>
      </c>
      <c r="B80" s="366" t="str">
        <f>HYPERLINK("https://azurlane.koumakan.jp/Twin_203mm_(Model_1927)#Type_2","Twin 203mm Main Gun (M1927)")</f>
        <v>Twin 203mm Main Gun (M1927)</v>
      </c>
      <c r="C80" s="394"/>
      <c r="D80" s="369" t="s">
        <v>2010</v>
      </c>
      <c r="E80" s="369">
        <v>8.71</v>
      </c>
      <c r="F80" s="370">
        <v>29.3</v>
      </c>
      <c r="G80" s="369" t="s">
        <v>1866</v>
      </c>
      <c r="H80" s="370">
        <v>21.98</v>
      </c>
      <c r="I80" s="370">
        <v>32.24</v>
      </c>
      <c r="J80" s="370">
        <v>21.98</v>
      </c>
      <c r="K80" s="369">
        <v>70.0</v>
      </c>
      <c r="L80" s="369">
        <v>50.0</v>
      </c>
      <c r="M80" s="369" t="s">
        <v>1999</v>
      </c>
      <c r="N80" s="369" t="s">
        <v>2011</v>
      </c>
      <c r="O80" s="369" t="s">
        <v>1884</v>
      </c>
      <c r="P80" s="368" t="s">
        <v>1885</v>
      </c>
      <c r="Q80" s="368"/>
    </row>
    <row r="81" ht="56.25" customHeight="1">
      <c r="A81" s="372" t="s">
        <v>66</v>
      </c>
      <c r="B81" s="373" t="str">
        <f>HYPERLINK("https://azurlane.koumakan.jp/Twin_203mm_(BL_8%22_Mk_VIII)#Type_3","Twin 203mm Main Gun ")</f>
        <v>Twin 203mm Main Gun </v>
      </c>
      <c r="C81" s="394"/>
      <c r="D81" s="376" t="s">
        <v>2012</v>
      </c>
      <c r="E81" s="376">
        <v>6.42</v>
      </c>
      <c r="F81" s="377">
        <v>29.25</v>
      </c>
      <c r="G81" s="376" t="s">
        <v>1866</v>
      </c>
      <c r="H81" s="377">
        <v>21.94</v>
      </c>
      <c r="I81" s="377">
        <v>32.18</v>
      </c>
      <c r="J81" s="377">
        <v>21.94</v>
      </c>
      <c r="K81" s="376">
        <v>70.0</v>
      </c>
      <c r="L81" s="376">
        <v>50.0</v>
      </c>
      <c r="M81" s="376" t="s">
        <v>2003</v>
      </c>
      <c r="N81" s="376" t="s">
        <v>1937</v>
      </c>
      <c r="O81" s="376" t="s">
        <v>1884</v>
      </c>
      <c r="P81" s="376" t="s">
        <v>2013</v>
      </c>
      <c r="Q81" s="417"/>
    </row>
    <row r="82" ht="56.25" customHeight="1">
      <c r="A82" s="365" t="s">
        <v>66</v>
      </c>
      <c r="B82" s="366" t="str">
        <f>HYPERLINK("https://azurlane.koumakan.jp/Triple_203mm_(8%22/55_Mk_15)#Type_3","Triple 203mm Advanced Main Gun")</f>
        <v>Triple 203mm Advanced Main Gun</v>
      </c>
      <c r="C82" s="394"/>
      <c r="D82" s="369" t="s">
        <v>2014</v>
      </c>
      <c r="E82" s="369">
        <v>5.59</v>
      </c>
      <c r="F82" s="370">
        <v>27.81</v>
      </c>
      <c r="G82" s="369" t="s">
        <v>1883</v>
      </c>
      <c r="H82" s="370">
        <v>37.54</v>
      </c>
      <c r="I82" s="370">
        <v>26.42</v>
      </c>
      <c r="J82" s="370">
        <v>19.47</v>
      </c>
      <c r="K82" s="369">
        <v>70.0</v>
      </c>
      <c r="L82" s="369">
        <v>50.0</v>
      </c>
      <c r="M82" s="369" t="s">
        <v>1907</v>
      </c>
      <c r="N82" s="369" t="s">
        <v>1937</v>
      </c>
      <c r="O82" s="369" t="s">
        <v>1905</v>
      </c>
      <c r="P82" s="369" t="s">
        <v>2015</v>
      </c>
      <c r="Q82" s="368" t="s">
        <v>2016</v>
      </c>
    </row>
    <row r="83" ht="56.25" customHeight="1">
      <c r="A83" s="421" t="s">
        <v>66</v>
      </c>
      <c r="B83" s="396" t="str">
        <f>HYPERLINK("https://azurlane.koumakan.jp/Twin_203mm_(SK_C/34)#Type_2","Twin 203mm Main Gun (SK C)")</f>
        <v>Twin 203mm Main Gun (SK C)</v>
      </c>
      <c r="C83" s="403"/>
      <c r="D83" s="376" t="s">
        <v>2017</v>
      </c>
      <c r="E83" s="376">
        <v>7.78</v>
      </c>
      <c r="F83" s="377">
        <v>34.16</v>
      </c>
      <c r="G83" s="395" t="s">
        <v>1866</v>
      </c>
      <c r="H83" s="377">
        <v>25.62</v>
      </c>
      <c r="I83" s="377">
        <v>37.58</v>
      </c>
      <c r="J83" s="377">
        <v>25.62</v>
      </c>
      <c r="K83" s="376">
        <v>70.0</v>
      </c>
      <c r="L83" s="376">
        <v>50.0</v>
      </c>
      <c r="M83" s="395" t="s">
        <v>1878</v>
      </c>
      <c r="N83" s="395" t="s">
        <v>1937</v>
      </c>
      <c r="O83" s="395" t="s">
        <v>1884</v>
      </c>
      <c r="P83" s="376" t="s">
        <v>2018</v>
      </c>
      <c r="Q83" s="417"/>
    </row>
    <row r="84" ht="56.25" customHeight="1">
      <c r="A84" s="404" t="s">
        <v>66</v>
      </c>
      <c r="B84" s="387" t="s">
        <v>2019</v>
      </c>
      <c r="C84" s="394"/>
      <c r="D84" s="369" t="s">
        <v>2012</v>
      </c>
      <c r="E84" s="369">
        <v>6.6</v>
      </c>
      <c r="F84" s="370">
        <v>28.54</v>
      </c>
      <c r="G84" s="369" t="s">
        <v>2020</v>
      </c>
      <c r="H84" s="370">
        <v>38.53</v>
      </c>
      <c r="I84" s="370">
        <v>27.11</v>
      </c>
      <c r="J84" s="370">
        <v>19.98</v>
      </c>
      <c r="K84" s="401">
        <v>70.0</v>
      </c>
      <c r="L84" s="401">
        <v>55.0</v>
      </c>
      <c r="M84" s="401" t="s">
        <v>1878</v>
      </c>
      <c r="N84" s="401" t="s">
        <v>2021</v>
      </c>
      <c r="O84" s="401" t="s">
        <v>1884</v>
      </c>
      <c r="P84" s="401" t="s">
        <v>1915</v>
      </c>
      <c r="Q84" s="416"/>
    </row>
    <row r="85" ht="56.25" customHeight="1">
      <c r="A85" s="372" t="s">
        <v>66</v>
      </c>
      <c r="B85" s="373" t="str">
        <f>HYPERLINK("https://azurlane.koumakan.jp/Twin_203mm_(3rd_Year_Type)#Type_3","Twin 203mm Mounted Gun")</f>
        <v>Twin 203mm Mounted Gun</v>
      </c>
      <c r="C85" s="394"/>
      <c r="D85" s="376" t="s">
        <v>2022</v>
      </c>
      <c r="E85" s="376">
        <v>6.17</v>
      </c>
      <c r="F85" s="377">
        <v>29.04</v>
      </c>
      <c r="G85" s="376" t="s">
        <v>1883</v>
      </c>
      <c r="H85" s="377">
        <v>39.2</v>
      </c>
      <c r="I85" s="377">
        <v>27.59</v>
      </c>
      <c r="J85" s="377">
        <v>20.33</v>
      </c>
      <c r="K85" s="376">
        <v>70.0</v>
      </c>
      <c r="L85" s="376">
        <v>50.0</v>
      </c>
      <c r="M85" s="376" t="s">
        <v>2003</v>
      </c>
      <c r="N85" s="376" t="s">
        <v>1937</v>
      </c>
      <c r="O85" s="376" t="s">
        <v>1884</v>
      </c>
      <c r="P85" s="376" t="s">
        <v>2023</v>
      </c>
      <c r="Q85" s="417"/>
    </row>
    <row r="86" ht="56.25" customHeight="1">
      <c r="A86" s="365" t="s">
        <v>66</v>
      </c>
      <c r="B86" s="387" t="s">
        <v>2024</v>
      </c>
      <c r="C86" s="394"/>
      <c r="D86" s="369" t="s">
        <v>2012</v>
      </c>
      <c r="E86" s="369">
        <v>6.06</v>
      </c>
      <c r="F86" s="370">
        <v>30.74</v>
      </c>
      <c r="G86" s="369" t="s">
        <v>1883</v>
      </c>
      <c r="H86" s="370">
        <v>41.5</v>
      </c>
      <c r="I86" s="370">
        <v>29.21</v>
      </c>
      <c r="J86" s="370">
        <v>21.52</v>
      </c>
      <c r="K86" s="369">
        <v>70.0</v>
      </c>
      <c r="L86" s="369">
        <v>50.0</v>
      </c>
      <c r="M86" s="369" t="s">
        <v>2003</v>
      </c>
      <c r="N86" s="369" t="s">
        <v>1937</v>
      </c>
      <c r="O86" s="369" t="s">
        <v>1884</v>
      </c>
      <c r="P86" s="368" t="s">
        <v>1871</v>
      </c>
      <c r="Q86" s="416"/>
    </row>
    <row r="87" ht="56.25" customHeight="1">
      <c r="A87" s="372" t="s">
        <v>66</v>
      </c>
      <c r="B87" s="373" t="str">
        <f>HYPERLINK("https://azurlane.koumakan.jp/Twin_203mm_(3rd_Year_Type_No._3_Prototype)#Type_0","Twin 203mm Prototype (Type 3)")</f>
        <v>Twin 203mm Prototype (Type 3)</v>
      </c>
      <c r="C87" s="407"/>
      <c r="D87" s="376" t="s">
        <v>2012</v>
      </c>
      <c r="E87" s="376">
        <v>5.92</v>
      </c>
      <c r="F87" s="377">
        <v>31.43</v>
      </c>
      <c r="G87" s="376" t="s">
        <v>1883</v>
      </c>
      <c r="H87" s="377">
        <v>42.43</v>
      </c>
      <c r="I87" s="377">
        <v>29.86</v>
      </c>
      <c r="J87" s="377">
        <v>22.0</v>
      </c>
      <c r="K87" s="376">
        <v>70.0</v>
      </c>
      <c r="L87" s="376">
        <v>50.0</v>
      </c>
      <c r="M87" s="376" t="s">
        <v>2003</v>
      </c>
      <c r="N87" s="376" t="s">
        <v>1937</v>
      </c>
      <c r="O87" s="376" t="s">
        <v>1884</v>
      </c>
      <c r="P87" s="376" t="s">
        <v>2025</v>
      </c>
      <c r="Q87" s="375"/>
    </row>
    <row r="88" ht="56.25" customHeight="1">
      <c r="A88" s="365" t="s">
        <v>66</v>
      </c>
      <c r="B88" s="366" t="str">
        <f>HYPERLINK("https://azurlane.koumakan.jp/Twin_203mm_(SK_C/34)#Type_3","Twin 203mm Main Gun (SK C)")</f>
        <v>Twin 203mm Main Gun (SK C)</v>
      </c>
      <c r="C88" s="407"/>
      <c r="D88" s="369" t="s">
        <v>2026</v>
      </c>
      <c r="E88" s="369">
        <v>7.65</v>
      </c>
      <c r="F88" s="370">
        <v>36.87</v>
      </c>
      <c r="G88" s="369" t="s">
        <v>1866</v>
      </c>
      <c r="H88" s="370">
        <v>27.65</v>
      </c>
      <c r="I88" s="370">
        <v>40.56</v>
      </c>
      <c r="J88" s="370">
        <v>27.65</v>
      </c>
      <c r="K88" s="369">
        <v>70.0</v>
      </c>
      <c r="L88" s="369">
        <v>50.0</v>
      </c>
      <c r="M88" s="369" t="s">
        <v>1878</v>
      </c>
      <c r="N88" s="369" t="s">
        <v>1937</v>
      </c>
      <c r="O88" s="369" t="s">
        <v>1884</v>
      </c>
      <c r="P88" s="369" t="s">
        <v>2027</v>
      </c>
      <c r="Q88" s="416"/>
    </row>
    <row r="89" ht="56.25" customHeight="1">
      <c r="A89" s="372" t="s">
        <v>66</v>
      </c>
      <c r="B89" s="389" t="s">
        <v>2019</v>
      </c>
      <c r="C89" s="407"/>
      <c r="D89" s="376" t="s">
        <v>2028</v>
      </c>
      <c r="E89" s="376">
        <v>6.13</v>
      </c>
      <c r="F89" s="377">
        <v>33.02</v>
      </c>
      <c r="G89" s="376" t="s">
        <v>2020</v>
      </c>
      <c r="H89" s="377">
        <v>44.57</v>
      </c>
      <c r="I89" s="377">
        <v>31.37</v>
      </c>
      <c r="J89" s="377">
        <v>23.11</v>
      </c>
      <c r="K89" s="376">
        <v>70.0</v>
      </c>
      <c r="L89" s="376">
        <v>55.0</v>
      </c>
      <c r="M89" s="376" t="s">
        <v>1878</v>
      </c>
      <c r="N89" s="376" t="s">
        <v>2021</v>
      </c>
      <c r="O89" s="376" t="s">
        <v>1884</v>
      </c>
      <c r="P89" s="376" t="s">
        <v>1915</v>
      </c>
      <c r="Q89" s="375"/>
    </row>
    <row r="90" ht="56.25" customHeight="1">
      <c r="A90" s="365" t="s">
        <v>66</v>
      </c>
      <c r="B90" s="366" t="str">
        <f>HYPERLINK("https://azurlane.koumakan.jp/Triple_203mm_(Mle_1934_Prototype)#Type_0","Prototype Triple 203mm AA Gun")</f>
        <v>Prototype Triple 203mm AA Gun</v>
      </c>
      <c r="C90" s="407"/>
      <c r="D90" s="369" t="s">
        <v>2014</v>
      </c>
      <c r="E90" s="369">
        <v>5.39</v>
      </c>
      <c r="F90" s="370">
        <v>33.3</v>
      </c>
      <c r="G90" s="369" t="s">
        <v>1883</v>
      </c>
      <c r="H90" s="370">
        <v>44.96</v>
      </c>
      <c r="I90" s="370">
        <v>31.64</v>
      </c>
      <c r="J90" s="370">
        <v>23.31</v>
      </c>
      <c r="K90" s="369">
        <v>70.0</v>
      </c>
      <c r="L90" s="369">
        <v>50.0</v>
      </c>
      <c r="M90" s="369" t="s">
        <v>1860</v>
      </c>
      <c r="N90" s="369" t="s">
        <v>2021</v>
      </c>
      <c r="O90" s="369" t="s">
        <v>1870</v>
      </c>
      <c r="P90" s="368" t="s">
        <v>1990</v>
      </c>
      <c r="Q90" s="368"/>
    </row>
    <row r="91" ht="56.25" customHeight="1">
      <c r="A91" s="372" t="s">
        <v>66</v>
      </c>
      <c r="B91" s="389" t="s">
        <v>2029</v>
      </c>
      <c r="C91" s="407"/>
      <c r="D91" s="376" t="s">
        <v>2030</v>
      </c>
      <c r="E91" s="376">
        <v>7.92</v>
      </c>
      <c r="F91" s="377">
        <v>34.15</v>
      </c>
      <c r="G91" s="376" t="s">
        <v>1883</v>
      </c>
      <c r="H91" s="377">
        <v>46.1</v>
      </c>
      <c r="I91" s="377">
        <v>32.44</v>
      </c>
      <c r="J91" s="377">
        <v>23.9</v>
      </c>
      <c r="K91" s="376">
        <v>70.0</v>
      </c>
      <c r="L91" s="376">
        <v>50.0</v>
      </c>
      <c r="M91" s="376" t="s">
        <v>1860</v>
      </c>
      <c r="N91" s="376" t="s">
        <v>2021</v>
      </c>
      <c r="O91" s="376" t="s">
        <v>1975</v>
      </c>
      <c r="P91" s="375" t="s">
        <v>1871</v>
      </c>
      <c r="Q91" s="375"/>
    </row>
    <row r="92" ht="56.25" customHeight="1">
      <c r="A92" s="365" t="s">
        <v>66</v>
      </c>
      <c r="B92" s="366" t="str">
        <f>HYPERLINK("https://azurlane.koumakan.jp/Twin_203mm_(Model_1927)#Type_3","Twin 203mm Main Gun (M1927)")</f>
        <v>Twin 203mm Main Gun (M1927)</v>
      </c>
      <c r="C92" s="407"/>
      <c r="D92" s="369" t="s">
        <v>2031</v>
      </c>
      <c r="E92" s="369">
        <v>8.58</v>
      </c>
      <c r="F92" s="370">
        <v>37.54</v>
      </c>
      <c r="G92" s="369" t="s">
        <v>2032</v>
      </c>
      <c r="H92" s="370">
        <v>24.4</v>
      </c>
      <c r="I92" s="370">
        <v>46.92</v>
      </c>
      <c r="J92" s="370">
        <v>24.4</v>
      </c>
      <c r="K92" s="369">
        <v>70.0</v>
      </c>
      <c r="L92" s="369">
        <v>50.0</v>
      </c>
      <c r="M92" s="369" t="s">
        <v>1999</v>
      </c>
      <c r="N92" s="369" t="s">
        <v>2011</v>
      </c>
      <c r="O92" s="369" t="s">
        <v>1884</v>
      </c>
      <c r="P92" s="368" t="s">
        <v>1885</v>
      </c>
      <c r="Q92" s="416"/>
    </row>
    <row r="93" ht="56.25" customHeight="1">
      <c r="A93" s="372" t="s">
        <v>66</v>
      </c>
      <c r="B93" s="389" t="s">
        <v>2033</v>
      </c>
      <c r="C93" s="407"/>
      <c r="D93" s="376" t="s">
        <v>2034</v>
      </c>
      <c r="E93" s="376">
        <v>7.61</v>
      </c>
      <c r="F93" s="377">
        <v>38.16</v>
      </c>
      <c r="G93" s="376" t="s">
        <v>1988</v>
      </c>
      <c r="H93" s="377">
        <v>28.62</v>
      </c>
      <c r="I93" s="377">
        <v>41.98</v>
      </c>
      <c r="J93" s="377">
        <v>32.44</v>
      </c>
      <c r="K93" s="376">
        <v>70.0</v>
      </c>
      <c r="L93" s="376">
        <v>50.0</v>
      </c>
      <c r="M93" s="376" t="s">
        <v>1907</v>
      </c>
      <c r="N93" s="376" t="s">
        <v>1937</v>
      </c>
      <c r="O93" s="376" t="s">
        <v>1973</v>
      </c>
      <c r="P93" s="375" t="s">
        <v>1871</v>
      </c>
      <c r="Q93" s="375"/>
    </row>
    <row r="94" ht="56.25" customHeight="1">
      <c r="A94" s="365" t="s">
        <v>66</v>
      </c>
      <c r="B94" s="366" t="str">
        <f>HYPERLINK("https://azurlane.koumakan.jp/Triple_203mm_(SK_C/34_Prototype)#Type_0","Prototype Triple 203mm Main Gun (SK C)")</f>
        <v>Prototype Triple 203mm Main Gun (SK C)</v>
      </c>
      <c r="C94" s="407"/>
      <c r="D94" s="369" t="s">
        <v>2026</v>
      </c>
      <c r="E94" s="369">
        <v>7.32</v>
      </c>
      <c r="F94" s="370">
        <v>38.79</v>
      </c>
      <c r="G94" s="369" t="s">
        <v>1866</v>
      </c>
      <c r="H94" s="370">
        <v>29.09</v>
      </c>
      <c r="I94" s="370">
        <v>42.67</v>
      </c>
      <c r="J94" s="370">
        <v>29.09</v>
      </c>
      <c r="K94" s="369">
        <v>70.0</v>
      </c>
      <c r="L94" s="369">
        <v>50.0</v>
      </c>
      <c r="M94" s="369" t="s">
        <v>2035</v>
      </c>
      <c r="N94" s="369" t="s">
        <v>2021</v>
      </c>
      <c r="O94" s="369" t="s">
        <v>1975</v>
      </c>
      <c r="P94" s="368" t="s">
        <v>1990</v>
      </c>
      <c r="Q94" s="368"/>
    </row>
    <row r="95" ht="56.25" customHeight="1">
      <c r="A95" s="372" t="s">
        <v>66</v>
      </c>
      <c r="B95" s="389" t="s">
        <v>2036</v>
      </c>
      <c r="C95" s="407"/>
      <c r="D95" s="376" t="s">
        <v>2037</v>
      </c>
      <c r="E95" s="376">
        <v>6.17</v>
      </c>
      <c r="F95" s="377">
        <v>35.13</v>
      </c>
      <c r="G95" s="376" t="s">
        <v>2038</v>
      </c>
      <c r="H95" s="377">
        <v>40.4</v>
      </c>
      <c r="I95" s="377">
        <v>38.65</v>
      </c>
      <c r="J95" s="377">
        <v>31.62</v>
      </c>
      <c r="K95" s="376">
        <v>70.0</v>
      </c>
      <c r="L95" s="376">
        <v>55.0</v>
      </c>
      <c r="M95" s="376" t="s">
        <v>1947</v>
      </c>
      <c r="N95" s="376" t="s">
        <v>2021</v>
      </c>
      <c r="O95" s="376" t="s">
        <v>1884</v>
      </c>
      <c r="P95" s="376" t="s">
        <v>1928</v>
      </c>
      <c r="Q95" s="375"/>
    </row>
    <row r="96" ht="56.25" customHeight="1">
      <c r="A96" s="365" t="s">
        <v>66</v>
      </c>
      <c r="B96" s="387" t="s">
        <v>2039</v>
      </c>
      <c r="C96" s="422"/>
      <c r="D96" s="369" t="s">
        <v>2040</v>
      </c>
      <c r="E96" s="369">
        <v>7.85</v>
      </c>
      <c r="F96" s="370">
        <v>42.58</v>
      </c>
      <c r="G96" s="369" t="s">
        <v>2041</v>
      </c>
      <c r="H96" s="370">
        <v>48.97</v>
      </c>
      <c r="I96" s="370">
        <v>48.97</v>
      </c>
      <c r="J96" s="370">
        <v>40.45</v>
      </c>
      <c r="K96" s="369">
        <v>70.0</v>
      </c>
      <c r="L96" s="369">
        <v>55.0</v>
      </c>
      <c r="M96" s="369" t="s">
        <v>2035</v>
      </c>
      <c r="N96" s="369" t="s">
        <v>2021</v>
      </c>
      <c r="O96" s="369" t="s">
        <v>1975</v>
      </c>
      <c r="P96" s="369" t="s">
        <v>1928</v>
      </c>
      <c r="Q96" s="368"/>
    </row>
    <row r="97" ht="56.25" customHeight="1">
      <c r="A97" s="372" t="s">
        <v>484</v>
      </c>
      <c r="B97" s="373" t="str">
        <f>HYPERLINK("https://azurlane.koumakan.jp/Triple_283mm_(SK_C/28)#Type_3","Triple 283mm (SK C/28)")</f>
        <v>Triple 283mm (SK C/28)</v>
      </c>
      <c r="C97" s="394"/>
      <c r="D97" s="376" t="s">
        <v>2042</v>
      </c>
      <c r="E97" s="376">
        <v>8.98</v>
      </c>
      <c r="F97" s="377">
        <v>37.12</v>
      </c>
      <c r="G97" s="376" t="s">
        <v>1866</v>
      </c>
      <c r="H97" s="377">
        <v>27.84</v>
      </c>
      <c r="I97" s="377">
        <v>40.83</v>
      </c>
      <c r="J97" s="377">
        <v>27.84</v>
      </c>
      <c r="K97" s="376">
        <v>75.0</v>
      </c>
      <c r="L97" s="376">
        <v>70.0</v>
      </c>
      <c r="M97" s="376" t="s">
        <v>1876</v>
      </c>
      <c r="N97" s="376" t="s">
        <v>1937</v>
      </c>
      <c r="O97" s="376" t="s">
        <v>2043</v>
      </c>
      <c r="P97" s="378"/>
      <c r="Q97" s="375" t="s">
        <v>2044</v>
      </c>
    </row>
    <row r="98" ht="56.25" customHeight="1">
      <c r="A98" s="365" t="s">
        <v>484</v>
      </c>
      <c r="B98" s="366" t="str">
        <f>HYPERLINK("https://azurlane.koumakan.jp/Triple_310mm_(Type_0_Prototype)#Type_0","Triple 310mm (Type 0 Prototype)")</f>
        <v>Triple 310mm (Type 0 Prototype)</v>
      </c>
      <c r="C98" s="407"/>
      <c r="D98" s="369" t="s">
        <v>2045</v>
      </c>
      <c r="E98" s="369">
        <v>10.71</v>
      </c>
      <c r="F98" s="370">
        <v>32.11</v>
      </c>
      <c r="G98" s="369" t="s">
        <v>1942</v>
      </c>
      <c r="H98" s="370">
        <v>43.35</v>
      </c>
      <c r="I98" s="370">
        <v>32.11</v>
      </c>
      <c r="J98" s="370">
        <v>24.08</v>
      </c>
      <c r="K98" s="369">
        <v>70.0</v>
      </c>
      <c r="L98" s="369">
        <v>70.0</v>
      </c>
      <c r="M98" s="369" t="s">
        <v>2046</v>
      </c>
      <c r="N98" s="369" t="s">
        <v>1952</v>
      </c>
      <c r="O98" s="369" t="s">
        <v>2043</v>
      </c>
      <c r="P98" s="369" t="s">
        <v>2000</v>
      </c>
      <c r="Q98" s="368" t="s">
        <v>2047</v>
      </c>
    </row>
    <row r="99" ht="56.25" customHeight="1">
      <c r="A99" s="372" t="s">
        <v>484</v>
      </c>
      <c r="B99" s="389" t="s">
        <v>2048</v>
      </c>
      <c r="C99" s="407"/>
      <c r="D99" s="376" t="s">
        <v>2049</v>
      </c>
      <c r="E99" s="376">
        <v>8.97</v>
      </c>
      <c r="F99" s="377">
        <v>37.38</v>
      </c>
      <c r="G99" s="376" t="s">
        <v>1985</v>
      </c>
      <c r="H99" s="377">
        <v>28.03</v>
      </c>
      <c r="I99" s="377">
        <v>42.99</v>
      </c>
      <c r="J99" s="377">
        <v>28.03</v>
      </c>
      <c r="K99" s="376">
        <v>70.0</v>
      </c>
      <c r="L99" s="376">
        <v>70.0</v>
      </c>
      <c r="M99" s="376" t="s">
        <v>2046</v>
      </c>
      <c r="N99" s="376" t="s">
        <v>1937</v>
      </c>
      <c r="O99" s="376" t="s">
        <v>2043</v>
      </c>
      <c r="P99" s="376" t="s">
        <v>2050</v>
      </c>
      <c r="Q99" s="375"/>
    </row>
    <row r="100">
      <c r="A100" s="409"/>
      <c r="B100" s="410"/>
      <c r="C100" s="411"/>
      <c r="D100" s="410"/>
      <c r="E100" s="423"/>
      <c r="F100" s="409"/>
      <c r="G100" s="423"/>
      <c r="H100" s="409"/>
      <c r="I100" s="409"/>
      <c r="J100" s="409"/>
      <c r="K100" s="423"/>
      <c r="L100" s="423"/>
      <c r="M100" s="423"/>
      <c r="N100" s="423"/>
      <c r="O100" s="424"/>
      <c r="P100" s="410"/>
      <c r="Q100" s="415"/>
    </row>
    <row r="101" ht="56.25" customHeight="1">
      <c r="A101" s="372" t="s">
        <v>82</v>
      </c>
      <c r="B101" s="373" t="str">
        <f>HYPERLINK("https://azurlane.koumakan.jp/Twin_305mm_(41st_Year_Type)#Type_0","Twin 305mm (Type 41)")</f>
        <v>Twin 305mm (Type 41)</v>
      </c>
      <c r="C101" s="418"/>
      <c r="D101" s="375" t="s">
        <v>2051</v>
      </c>
      <c r="E101" s="425">
        <v>17.42</v>
      </c>
      <c r="F101" s="372">
        <v>9.35</v>
      </c>
      <c r="G101" s="425" t="s">
        <v>1849</v>
      </c>
      <c r="H101" s="372">
        <v>6.54</v>
      </c>
      <c r="I101" s="372">
        <v>9.35</v>
      </c>
      <c r="J101" s="372">
        <v>8.41</v>
      </c>
      <c r="K101" s="425">
        <v>200.0</v>
      </c>
      <c r="L101" s="426"/>
      <c r="M101" s="425" t="s">
        <v>1999</v>
      </c>
      <c r="N101" s="425" t="s">
        <v>2052</v>
      </c>
      <c r="O101" s="427" t="s">
        <v>2053</v>
      </c>
      <c r="P101" s="375" t="s">
        <v>2054</v>
      </c>
      <c r="Q101" s="375"/>
    </row>
    <row r="102" ht="56.25" customHeight="1">
      <c r="A102" s="365" t="s">
        <v>82</v>
      </c>
      <c r="B102" s="366" t="str">
        <f>HYPERLINK("https://azurlane.koumakan.jp/Triple_320mm_(Model_1934)#Type_0","Triple 320mm Main Gun (M1934)")</f>
        <v>Triple 320mm Main Gun (M1934)</v>
      </c>
      <c r="C102" s="418"/>
      <c r="D102" s="368" t="s">
        <v>2055</v>
      </c>
      <c r="E102" s="428">
        <v>24.08</v>
      </c>
      <c r="F102" s="365">
        <v>10.47</v>
      </c>
      <c r="G102" s="428" t="s">
        <v>1866</v>
      </c>
      <c r="H102" s="365">
        <v>4.71</v>
      </c>
      <c r="I102" s="365">
        <v>13.6</v>
      </c>
      <c r="J102" s="365">
        <v>11.51</v>
      </c>
      <c r="K102" s="428">
        <v>200.0</v>
      </c>
      <c r="L102" s="384"/>
      <c r="M102" s="428" t="s">
        <v>2056</v>
      </c>
      <c r="N102" s="428" t="s">
        <v>2052</v>
      </c>
      <c r="O102" s="429" t="s">
        <v>2057</v>
      </c>
      <c r="P102" s="368" t="s">
        <v>1885</v>
      </c>
      <c r="Q102" s="416"/>
    </row>
    <row r="103" ht="56.25" customHeight="1">
      <c r="A103" s="372" t="s">
        <v>82</v>
      </c>
      <c r="B103" s="373" t="str">
        <f>HYPERLINK("https://azurlane.koumakan.jp/Triple_356mm_(14%22/50_Mk_11)#Type_3","Triple 356mm Main Gun")</f>
        <v>Triple 356mm Main Gun</v>
      </c>
      <c r="C103" s="418"/>
      <c r="D103" s="375" t="s">
        <v>2058</v>
      </c>
      <c r="E103" s="425">
        <v>27.11</v>
      </c>
      <c r="F103" s="372">
        <v>9.76</v>
      </c>
      <c r="G103" s="425" t="s">
        <v>1883</v>
      </c>
      <c r="H103" s="372">
        <v>13.66</v>
      </c>
      <c r="I103" s="372">
        <v>10.74</v>
      </c>
      <c r="J103" s="372">
        <v>8.78</v>
      </c>
      <c r="K103" s="425">
        <v>200.0</v>
      </c>
      <c r="L103" s="426"/>
      <c r="M103" s="425" t="s">
        <v>2056</v>
      </c>
      <c r="N103" s="425" t="s">
        <v>2052</v>
      </c>
      <c r="O103" s="427" t="s">
        <v>2057</v>
      </c>
      <c r="P103" s="430">
        <v>43497.0</v>
      </c>
      <c r="Q103" s="417"/>
    </row>
    <row r="104" ht="56.25" customHeight="1">
      <c r="A104" s="365" t="s">
        <v>82</v>
      </c>
      <c r="B104" s="366" t="str">
        <f>HYPERLINK("https://azurlane.koumakan.jp/Twin_356mm_(41st_Year_Type)#Type_3","Twin 356mm Mounted Gun")</f>
        <v>Twin 356mm Mounted Gun</v>
      </c>
      <c r="C104" s="418"/>
      <c r="D104" s="368" t="s">
        <v>2059</v>
      </c>
      <c r="E104" s="428">
        <v>19.27</v>
      </c>
      <c r="F104" s="365">
        <v>10.05</v>
      </c>
      <c r="G104" s="428" t="s">
        <v>1883</v>
      </c>
      <c r="H104" s="365">
        <v>14.07</v>
      </c>
      <c r="I104" s="365">
        <v>11.05</v>
      </c>
      <c r="J104" s="365">
        <v>9.04</v>
      </c>
      <c r="K104" s="428">
        <v>200.0</v>
      </c>
      <c r="L104" s="384"/>
      <c r="M104" s="428" t="s">
        <v>1999</v>
      </c>
      <c r="N104" s="428" t="s">
        <v>2052</v>
      </c>
      <c r="O104" s="429" t="s">
        <v>2053</v>
      </c>
      <c r="P104" s="431">
        <v>43469.0</v>
      </c>
      <c r="Q104" s="416"/>
    </row>
    <row r="105" ht="56.25" customHeight="1">
      <c r="A105" s="372" t="s">
        <v>82</v>
      </c>
      <c r="B105" s="389" t="s">
        <v>2060</v>
      </c>
      <c r="C105" s="418"/>
      <c r="D105" s="375" t="s">
        <v>2059</v>
      </c>
      <c r="E105" s="425">
        <v>18.11</v>
      </c>
      <c r="F105" s="372">
        <v>10.7</v>
      </c>
      <c r="G105" s="425" t="s">
        <v>1883</v>
      </c>
      <c r="H105" s="372">
        <v>14.97</v>
      </c>
      <c r="I105" s="372">
        <v>11.77</v>
      </c>
      <c r="J105" s="372">
        <v>9.63</v>
      </c>
      <c r="K105" s="425">
        <v>200.0</v>
      </c>
      <c r="L105" s="426"/>
      <c r="M105" s="425" t="s">
        <v>1999</v>
      </c>
      <c r="N105" s="425" t="s">
        <v>2052</v>
      </c>
      <c r="O105" s="427" t="s">
        <v>2053</v>
      </c>
      <c r="P105" s="375" t="s">
        <v>1871</v>
      </c>
      <c r="Q105" s="417"/>
    </row>
    <row r="106" ht="56.25" customHeight="1">
      <c r="A106" s="365" t="s">
        <v>82</v>
      </c>
      <c r="B106" s="387" t="s">
        <v>2061</v>
      </c>
      <c r="C106" s="418"/>
      <c r="D106" s="368" t="s">
        <v>2062</v>
      </c>
      <c r="E106" s="428">
        <v>22.88</v>
      </c>
      <c r="F106" s="365">
        <v>10.19</v>
      </c>
      <c r="G106" s="428" t="s">
        <v>1866</v>
      </c>
      <c r="H106" s="365">
        <v>4.59</v>
      </c>
      <c r="I106" s="365">
        <v>13.25</v>
      </c>
      <c r="J106" s="365">
        <v>11.21</v>
      </c>
      <c r="K106" s="428">
        <v>200.0</v>
      </c>
      <c r="L106" s="384"/>
      <c r="M106" s="428" t="s">
        <v>1999</v>
      </c>
      <c r="N106" s="428" t="s">
        <v>2052</v>
      </c>
      <c r="O106" s="429" t="s">
        <v>2053</v>
      </c>
      <c r="P106" s="368" t="s">
        <v>1871</v>
      </c>
      <c r="Q106" s="416"/>
    </row>
    <row r="107" ht="56.25" customHeight="1">
      <c r="A107" s="372" t="s">
        <v>82</v>
      </c>
      <c r="B107" s="373" t="str">
        <f>HYPERLINK("https://azurlane.koumakan.jp/Triple_305mm_(Pattern_1907)","Triple 305mm (Pattern 1907)")</f>
        <v>Triple 305mm (Pattern 1907)</v>
      </c>
      <c r="C107" s="418"/>
      <c r="D107" s="375" t="s">
        <v>2055</v>
      </c>
      <c r="E107" s="425">
        <v>24.08</v>
      </c>
      <c r="F107" s="372">
        <v>12.59</v>
      </c>
      <c r="G107" s="425" t="s">
        <v>1883</v>
      </c>
      <c r="H107" s="372">
        <v>17.63</v>
      </c>
      <c r="I107" s="372">
        <v>13.85</v>
      </c>
      <c r="J107" s="372">
        <v>11.33</v>
      </c>
      <c r="K107" s="425">
        <v>200.0</v>
      </c>
      <c r="L107" s="426"/>
      <c r="M107" s="425" t="s">
        <v>1999</v>
      </c>
      <c r="N107" s="425" t="s">
        <v>2052</v>
      </c>
      <c r="O107" s="427" t="s">
        <v>2057</v>
      </c>
      <c r="P107" s="375" t="s">
        <v>1934</v>
      </c>
      <c r="Q107" s="375" t="s">
        <v>2063</v>
      </c>
    </row>
    <row r="108" ht="56.25" customHeight="1">
      <c r="A108" s="365" t="s">
        <v>82</v>
      </c>
      <c r="B108" s="366" t="str">
        <f>HYPERLINK("https://azurlane.koumakan.jp/Triple_283mm_(SK_C/34)#Type_3","Triple 283mm Main Gun (SK C/34)")</f>
        <v>Triple 283mm Main Gun (SK C/34)</v>
      </c>
      <c r="C108" s="394"/>
      <c r="D108" s="368" t="s">
        <v>2064</v>
      </c>
      <c r="E108" s="428">
        <v>16.63</v>
      </c>
      <c r="F108" s="365">
        <v>16.67</v>
      </c>
      <c r="G108" s="428" t="s">
        <v>1849</v>
      </c>
      <c r="H108" s="365">
        <v>11.67</v>
      </c>
      <c r="I108" s="365">
        <v>16.67</v>
      </c>
      <c r="J108" s="365">
        <v>15.0</v>
      </c>
      <c r="K108" s="428">
        <v>200.0</v>
      </c>
      <c r="L108" s="384"/>
      <c r="M108" s="428" t="s">
        <v>2056</v>
      </c>
      <c r="N108" s="428" t="s">
        <v>2052</v>
      </c>
      <c r="O108" s="429" t="s">
        <v>2057</v>
      </c>
      <c r="P108" s="416"/>
      <c r="Q108" s="368" t="s">
        <v>2065</v>
      </c>
    </row>
    <row r="109" ht="56.25" customHeight="1">
      <c r="A109" s="421" t="s">
        <v>82</v>
      </c>
      <c r="B109" s="396" t="str">
        <f>HYPERLINK("https://azurlane.koumakan.jp/Twin_380mm_(SK_C/34)#Type_2","Twin 380mm Main Gun (SK C)")</f>
        <v>Twin 380mm Main Gun (SK C)</v>
      </c>
      <c r="C109" s="403"/>
      <c r="D109" s="398" t="s">
        <v>2066</v>
      </c>
      <c r="E109" s="425">
        <v>19.36</v>
      </c>
      <c r="F109" s="372">
        <v>13.86</v>
      </c>
      <c r="G109" s="432" t="s">
        <v>1866</v>
      </c>
      <c r="H109" s="372">
        <v>6.24</v>
      </c>
      <c r="I109" s="372">
        <v>18.02</v>
      </c>
      <c r="J109" s="372">
        <v>15.25</v>
      </c>
      <c r="K109" s="432">
        <v>200.0</v>
      </c>
      <c r="L109" s="426"/>
      <c r="M109" s="425" t="s">
        <v>1999</v>
      </c>
      <c r="N109" s="432" t="s">
        <v>2052</v>
      </c>
      <c r="O109" s="433" t="s">
        <v>2053</v>
      </c>
      <c r="P109" s="417"/>
      <c r="Q109" s="417"/>
    </row>
    <row r="110" ht="56.25" customHeight="1">
      <c r="A110" s="365" t="s">
        <v>82</v>
      </c>
      <c r="B110" s="366" t="str">
        <f>HYPERLINK("https://azurlane.koumakan.jp/Twin_381mm_(BL_15%22_Mk_I)#Type_3","Twin 381mm Main Gun")</f>
        <v>Twin 381mm Main Gun</v>
      </c>
      <c r="C110" s="394"/>
      <c r="D110" s="368" t="s">
        <v>2067</v>
      </c>
      <c r="E110" s="428">
        <v>18.72</v>
      </c>
      <c r="F110" s="365">
        <v>15.04</v>
      </c>
      <c r="G110" s="428" t="s">
        <v>1866</v>
      </c>
      <c r="H110" s="365">
        <v>6.77</v>
      </c>
      <c r="I110" s="365">
        <v>19.56</v>
      </c>
      <c r="J110" s="365">
        <v>16.55</v>
      </c>
      <c r="K110" s="428">
        <v>200.0</v>
      </c>
      <c r="L110" s="384"/>
      <c r="M110" s="428" t="s">
        <v>1999</v>
      </c>
      <c r="N110" s="428" t="s">
        <v>2052</v>
      </c>
      <c r="O110" s="429" t="s">
        <v>2053</v>
      </c>
      <c r="P110" s="431">
        <v>43618.0</v>
      </c>
      <c r="Q110" s="416"/>
    </row>
    <row r="111" ht="56.25" customHeight="1">
      <c r="A111" s="372" t="s">
        <v>82</v>
      </c>
      <c r="B111" s="389" t="s">
        <v>2068</v>
      </c>
      <c r="C111" s="394"/>
      <c r="D111" s="375" t="s">
        <v>2069</v>
      </c>
      <c r="E111" s="425">
        <v>17.56</v>
      </c>
      <c r="F111" s="372">
        <v>15.19</v>
      </c>
      <c r="G111" s="425" t="s">
        <v>1883</v>
      </c>
      <c r="H111" s="372">
        <v>21.27</v>
      </c>
      <c r="I111" s="372">
        <v>16.71</v>
      </c>
      <c r="J111" s="372">
        <v>13.67</v>
      </c>
      <c r="K111" s="425">
        <v>200.0</v>
      </c>
      <c r="L111" s="426"/>
      <c r="M111" s="425" t="s">
        <v>2035</v>
      </c>
      <c r="N111" s="425" t="s">
        <v>2052</v>
      </c>
      <c r="O111" s="427" t="s">
        <v>2053</v>
      </c>
      <c r="P111" s="375" t="s">
        <v>1871</v>
      </c>
      <c r="Q111" s="417"/>
    </row>
    <row r="112" ht="56.25" customHeight="1">
      <c r="A112" s="365" t="s">
        <v>82</v>
      </c>
      <c r="B112" s="399" t="s">
        <v>2070</v>
      </c>
      <c r="C112" s="403"/>
      <c r="D112" s="400" t="s">
        <v>2071</v>
      </c>
      <c r="E112" s="428">
        <v>30.66</v>
      </c>
      <c r="F112" s="365">
        <v>15.89</v>
      </c>
      <c r="G112" s="428" t="s">
        <v>1883</v>
      </c>
      <c r="H112" s="365">
        <v>22.25</v>
      </c>
      <c r="I112" s="365">
        <v>17.48</v>
      </c>
      <c r="J112" s="365">
        <v>14.3</v>
      </c>
      <c r="K112" s="428">
        <v>200.0</v>
      </c>
      <c r="L112" s="384"/>
      <c r="M112" s="428" t="s">
        <v>2056</v>
      </c>
      <c r="N112" s="434" t="s">
        <v>2052</v>
      </c>
      <c r="O112" s="435" t="s">
        <v>2072</v>
      </c>
      <c r="P112" s="368" t="s">
        <v>1871</v>
      </c>
      <c r="Q112" s="416"/>
    </row>
    <row r="113" ht="56.25" customHeight="1">
      <c r="A113" s="421" t="s">
        <v>82</v>
      </c>
      <c r="B113" s="396" t="str">
        <f>HYPERLINK("https://azurlane.koumakan.jp/Triple_406mm_(BL_16%22_Mk_I)#Type_2","Triple 406mm Main Gun")</f>
        <v>Triple 406mm Main Gun</v>
      </c>
      <c r="C113" s="403"/>
      <c r="D113" s="398" t="s">
        <v>2073</v>
      </c>
      <c r="E113" s="425">
        <v>25.29</v>
      </c>
      <c r="F113" s="372">
        <v>17.56</v>
      </c>
      <c r="G113" s="432" t="s">
        <v>1849</v>
      </c>
      <c r="H113" s="372">
        <v>12.29</v>
      </c>
      <c r="I113" s="372">
        <v>17.56</v>
      </c>
      <c r="J113" s="372">
        <v>15.81</v>
      </c>
      <c r="K113" s="432">
        <v>200.0</v>
      </c>
      <c r="L113" s="426"/>
      <c r="M113" s="425" t="s">
        <v>2056</v>
      </c>
      <c r="N113" s="432" t="s">
        <v>2052</v>
      </c>
      <c r="O113" s="433" t="s">
        <v>2057</v>
      </c>
      <c r="P113" s="375" t="s">
        <v>2074</v>
      </c>
      <c r="Q113" s="417"/>
    </row>
    <row r="114" ht="56.25" customHeight="1">
      <c r="A114" s="404" t="s">
        <v>82</v>
      </c>
      <c r="B114" s="405" t="str">
        <f>HYPERLINK("https://azurlane.koumakan.jp/Quadruple_356mm_(BL_14%22_Mk_VII)#Type_2","Quadruple 356mm Main Gun")</f>
        <v>Quadruple 356mm Main Gun</v>
      </c>
      <c r="C114" s="403"/>
      <c r="D114" s="400" t="s">
        <v>2075</v>
      </c>
      <c r="E114" s="428">
        <v>30.73</v>
      </c>
      <c r="F114" s="365">
        <v>12.89</v>
      </c>
      <c r="G114" s="434" t="s">
        <v>1883</v>
      </c>
      <c r="H114" s="365">
        <v>18.04</v>
      </c>
      <c r="I114" s="365">
        <v>14.18</v>
      </c>
      <c r="J114" s="365">
        <v>11.6</v>
      </c>
      <c r="K114" s="434">
        <v>200.0</v>
      </c>
      <c r="L114" s="384"/>
      <c r="M114" s="428" t="s">
        <v>2035</v>
      </c>
      <c r="N114" s="434" t="s">
        <v>2052</v>
      </c>
      <c r="O114" s="435" t="s">
        <v>2072</v>
      </c>
      <c r="P114" s="431">
        <v>43649.0</v>
      </c>
      <c r="Q114" s="416"/>
    </row>
    <row r="115" ht="56.25" customHeight="1">
      <c r="A115" s="372" t="s">
        <v>82</v>
      </c>
      <c r="B115" s="373" t="str">
        <f>HYPERLINK("https://azurlane.koumakan.jp/Quadruple_330mm_(Mle_1931)#Type_3","Quadruple 330mm (Mle 1931)")</f>
        <v>Quadruple 330mm (Mle 1931)</v>
      </c>
      <c r="C115" s="394"/>
      <c r="D115" s="375" t="s">
        <v>2071</v>
      </c>
      <c r="E115" s="425">
        <v>26.34</v>
      </c>
      <c r="F115" s="372">
        <v>15.4</v>
      </c>
      <c r="G115" s="425" t="s">
        <v>1866</v>
      </c>
      <c r="H115" s="372">
        <v>6.93</v>
      </c>
      <c r="I115" s="372">
        <v>20.02</v>
      </c>
      <c r="J115" s="372">
        <v>16.94</v>
      </c>
      <c r="K115" s="425">
        <v>200.0</v>
      </c>
      <c r="L115" s="426"/>
      <c r="M115" s="425" t="s">
        <v>1950</v>
      </c>
      <c r="N115" s="425" t="s">
        <v>1952</v>
      </c>
      <c r="O115" s="427" t="s">
        <v>2076</v>
      </c>
      <c r="P115" s="376" t="s">
        <v>1879</v>
      </c>
      <c r="Q115" s="375"/>
    </row>
    <row r="116" ht="56.25" customHeight="1">
      <c r="A116" s="365" t="s">
        <v>82</v>
      </c>
      <c r="B116" s="366" t="str">
        <f>HYPERLINK("https://azurlane.koumakan.jp/Triple_381mm_(Model_1934)#Type_2","Triple 381mm Main Gun (M1934)")</f>
        <v>Triple 381mm Main Gun (M1934)</v>
      </c>
      <c r="C116" s="394"/>
      <c r="D116" s="368" t="s">
        <v>2077</v>
      </c>
      <c r="E116" s="428">
        <v>25.29</v>
      </c>
      <c r="F116" s="365">
        <v>16.01</v>
      </c>
      <c r="G116" s="428" t="s">
        <v>1866</v>
      </c>
      <c r="H116" s="365">
        <v>7.21</v>
      </c>
      <c r="I116" s="365">
        <v>20.82</v>
      </c>
      <c r="J116" s="365">
        <v>17.62</v>
      </c>
      <c r="K116" s="428">
        <v>200.0</v>
      </c>
      <c r="L116" s="384"/>
      <c r="M116" s="428" t="s">
        <v>2056</v>
      </c>
      <c r="N116" s="428" t="s">
        <v>2052</v>
      </c>
      <c r="O116" s="429" t="s">
        <v>2057</v>
      </c>
      <c r="P116" s="368" t="s">
        <v>1885</v>
      </c>
      <c r="Q116" s="368"/>
    </row>
    <row r="117" ht="56.25" customHeight="1">
      <c r="A117" s="372" t="s">
        <v>82</v>
      </c>
      <c r="B117" s="389" t="s">
        <v>2078</v>
      </c>
      <c r="C117" s="394"/>
      <c r="D117" s="375" t="s">
        <v>2079</v>
      </c>
      <c r="E117" s="425">
        <v>28.73</v>
      </c>
      <c r="F117" s="372">
        <v>17.1</v>
      </c>
      <c r="G117" s="425" t="s">
        <v>1849</v>
      </c>
      <c r="H117" s="372">
        <v>11.97</v>
      </c>
      <c r="I117" s="372">
        <v>17.1</v>
      </c>
      <c r="J117" s="372">
        <v>15.39</v>
      </c>
      <c r="K117" s="425">
        <v>200.0</v>
      </c>
      <c r="L117" s="426"/>
      <c r="M117" s="425" t="s">
        <v>2056</v>
      </c>
      <c r="N117" s="425" t="s">
        <v>2052</v>
      </c>
      <c r="O117" s="427" t="s">
        <v>2057</v>
      </c>
      <c r="P117" s="375" t="s">
        <v>1871</v>
      </c>
      <c r="Q117" s="375"/>
    </row>
    <row r="118" ht="56.25" customHeight="1">
      <c r="A118" s="365" t="s">
        <v>82</v>
      </c>
      <c r="B118" s="366" t="str">
        <f>HYPERLINK("https://azurlane.koumakan.jp/Triple_406mm_(MK-1)#Type_2","Triple 406mm (MK-1)")</f>
        <v>Triple 406mm (MK-1)</v>
      </c>
      <c r="C118" s="394"/>
      <c r="D118" s="368" t="s">
        <v>2080</v>
      </c>
      <c r="E118" s="428">
        <v>25.35</v>
      </c>
      <c r="F118" s="365">
        <v>17.63</v>
      </c>
      <c r="G118" s="428" t="s">
        <v>1849</v>
      </c>
      <c r="H118" s="365">
        <v>12.34</v>
      </c>
      <c r="I118" s="365">
        <v>17.63</v>
      </c>
      <c r="J118" s="365">
        <v>15.87</v>
      </c>
      <c r="K118" s="428">
        <v>200.0</v>
      </c>
      <c r="L118" s="384"/>
      <c r="M118" s="428" t="s">
        <v>2056</v>
      </c>
      <c r="N118" s="428" t="s">
        <v>2052</v>
      </c>
      <c r="O118" s="429" t="s">
        <v>2057</v>
      </c>
      <c r="P118" s="368" t="s">
        <v>1934</v>
      </c>
      <c r="Q118" s="368"/>
    </row>
    <row r="119" ht="56.25" customHeight="1">
      <c r="A119" s="372" t="s">
        <v>82</v>
      </c>
      <c r="B119" s="373" t="str">
        <f>HYPERLINK("https://azurlane.koumakan.jp/Twin_406mm_(16%22/45_Mk_5)#Type_3","Twin 406mm MK5 Main Gun")</f>
        <v>Twin 406mm MK5 Main Gun</v>
      </c>
      <c r="C119" s="394"/>
      <c r="D119" s="375" t="s">
        <v>2081</v>
      </c>
      <c r="E119" s="425">
        <v>21.15</v>
      </c>
      <c r="F119" s="372">
        <v>16.02</v>
      </c>
      <c r="G119" s="425" t="s">
        <v>1866</v>
      </c>
      <c r="H119" s="372">
        <v>7.21</v>
      </c>
      <c r="I119" s="372">
        <v>20.82</v>
      </c>
      <c r="J119" s="372">
        <v>17.62</v>
      </c>
      <c r="K119" s="425">
        <v>200.0</v>
      </c>
      <c r="L119" s="426"/>
      <c r="M119" s="425" t="s">
        <v>1999</v>
      </c>
      <c r="N119" s="425" t="s">
        <v>2052</v>
      </c>
      <c r="O119" s="427" t="s">
        <v>2053</v>
      </c>
      <c r="P119" s="375" t="s">
        <v>2082</v>
      </c>
      <c r="Q119" s="417"/>
    </row>
    <row r="120" ht="56.25" customHeight="1">
      <c r="A120" s="365" t="s">
        <v>82</v>
      </c>
      <c r="B120" s="387" t="s">
        <v>2083</v>
      </c>
      <c r="C120" s="394"/>
      <c r="D120" s="368" t="s">
        <v>2081</v>
      </c>
      <c r="E120" s="428">
        <v>19.93</v>
      </c>
      <c r="F120" s="365">
        <v>17.0</v>
      </c>
      <c r="G120" s="428" t="s">
        <v>1866</v>
      </c>
      <c r="H120" s="365">
        <v>7.65</v>
      </c>
      <c r="I120" s="365">
        <v>22.1</v>
      </c>
      <c r="J120" s="365">
        <v>18.7</v>
      </c>
      <c r="K120" s="428">
        <v>200.0</v>
      </c>
      <c r="L120" s="384"/>
      <c r="M120" s="428" t="s">
        <v>1999</v>
      </c>
      <c r="N120" s="428" t="s">
        <v>2052</v>
      </c>
      <c r="O120" s="429" t="s">
        <v>2053</v>
      </c>
      <c r="P120" s="368" t="s">
        <v>1871</v>
      </c>
      <c r="Q120" s="368"/>
    </row>
    <row r="121" ht="56.25" customHeight="1">
      <c r="A121" s="421" t="s">
        <v>82</v>
      </c>
      <c r="B121" s="396" t="str">
        <f>HYPERLINK("https://azurlane.koumakan.jp/Quadruple_380mm_(Mle_1935)#Type_2","Quadruple 380mm (Mle 1935)")</f>
        <v>Quadruple 380mm (Mle 1935)</v>
      </c>
      <c r="C121" s="403"/>
      <c r="D121" s="398" t="s">
        <v>2084</v>
      </c>
      <c r="E121" s="425">
        <v>26.87</v>
      </c>
      <c r="F121" s="372">
        <v>16.28</v>
      </c>
      <c r="G121" s="432" t="s">
        <v>1883</v>
      </c>
      <c r="H121" s="372">
        <v>22.8</v>
      </c>
      <c r="I121" s="372">
        <v>17.91</v>
      </c>
      <c r="J121" s="372">
        <v>14.66</v>
      </c>
      <c r="K121" s="432">
        <v>200.0</v>
      </c>
      <c r="L121" s="426"/>
      <c r="M121" s="425" t="s">
        <v>1950</v>
      </c>
      <c r="N121" s="432" t="s">
        <v>1952</v>
      </c>
      <c r="O121" s="433" t="s">
        <v>2076</v>
      </c>
      <c r="P121" s="376" t="s">
        <v>1879</v>
      </c>
      <c r="Q121" s="375"/>
    </row>
    <row r="122" ht="56.25" customHeight="1">
      <c r="A122" s="365" t="s">
        <v>82</v>
      </c>
      <c r="B122" s="366" t="str">
        <f>HYPERLINK("https://azurlane.koumakan.jp/Twin_410mm_(3rd_Year_Type)#Type_3","Twin 410mm Mounted Gun")</f>
        <v>Twin 410mm Mounted Gun</v>
      </c>
      <c r="C122" s="394"/>
      <c r="D122" s="368" t="s">
        <v>2081</v>
      </c>
      <c r="E122" s="428">
        <v>20.02</v>
      </c>
      <c r="F122" s="365">
        <v>16.92</v>
      </c>
      <c r="G122" s="428" t="s">
        <v>1883</v>
      </c>
      <c r="H122" s="365">
        <v>23.69</v>
      </c>
      <c r="I122" s="365">
        <v>18.62</v>
      </c>
      <c r="J122" s="365">
        <v>15.23</v>
      </c>
      <c r="K122" s="428">
        <v>200.0</v>
      </c>
      <c r="L122" s="384"/>
      <c r="M122" s="428" t="s">
        <v>1999</v>
      </c>
      <c r="N122" s="428" t="s">
        <v>2052</v>
      </c>
      <c r="O122" s="429" t="s">
        <v>2053</v>
      </c>
      <c r="P122" s="368" t="s">
        <v>2085</v>
      </c>
      <c r="Q122" s="368" t="s">
        <v>2086</v>
      </c>
    </row>
    <row r="123" ht="56.25" customHeight="1">
      <c r="A123" s="372" t="s">
        <v>82</v>
      </c>
      <c r="B123" s="389" t="s">
        <v>2087</v>
      </c>
      <c r="C123" s="394"/>
      <c r="D123" s="375" t="s">
        <v>2088</v>
      </c>
      <c r="E123" s="425">
        <v>19.97</v>
      </c>
      <c r="F123" s="372">
        <v>17.19</v>
      </c>
      <c r="G123" s="425" t="s">
        <v>1883</v>
      </c>
      <c r="H123" s="372">
        <v>24.06</v>
      </c>
      <c r="I123" s="372">
        <v>18.9</v>
      </c>
      <c r="J123" s="372">
        <v>15.47</v>
      </c>
      <c r="K123" s="425">
        <v>200.0</v>
      </c>
      <c r="L123" s="426"/>
      <c r="M123" s="425" t="s">
        <v>1999</v>
      </c>
      <c r="N123" s="425" t="s">
        <v>2052</v>
      </c>
      <c r="O123" s="427" t="s">
        <v>2053</v>
      </c>
      <c r="P123" s="375" t="s">
        <v>1871</v>
      </c>
      <c r="Q123" s="375"/>
    </row>
    <row r="124" ht="56.25" customHeight="1">
      <c r="A124" s="365" t="s">
        <v>82</v>
      </c>
      <c r="B124" s="366" t="str">
        <f>HYPERLINK("https://azurlane.koumakan.jp/Triple_406mm_(16%22/45_Mk_6)#Type_3","Triple 406mm MK6 Main Gun")</f>
        <v>Triple 406mm MK6 Main Gun</v>
      </c>
      <c r="C124" s="394"/>
      <c r="D124" s="368" t="s">
        <v>2079</v>
      </c>
      <c r="E124" s="428">
        <v>24.02</v>
      </c>
      <c r="F124" s="365">
        <v>20.46</v>
      </c>
      <c r="G124" s="428" t="s">
        <v>1883</v>
      </c>
      <c r="H124" s="365">
        <v>28.64</v>
      </c>
      <c r="I124" s="365">
        <v>22.5</v>
      </c>
      <c r="J124" s="365">
        <v>18.41</v>
      </c>
      <c r="K124" s="428">
        <v>200.0</v>
      </c>
      <c r="L124" s="384"/>
      <c r="M124" s="428" t="s">
        <v>2056</v>
      </c>
      <c r="N124" s="428" t="s">
        <v>2052</v>
      </c>
      <c r="O124" s="429" t="s">
        <v>2057</v>
      </c>
      <c r="P124" s="368" t="s">
        <v>2089</v>
      </c>
      <c r="Q124" s="368" t="s">
        <v>2090</v>
      </c>
    </row>
    <row r="125" ht="56.25" customHeight="1">
      <c r="A125" s="372" t="s">
        <v>82</v>
      </c>
      <c r="B125" s="373" t="str">
        <f>HYPERLINK("https://azurlane.koumakan.jp/Triple_406mm_(BL_16%22_Mk_I)#Type_3","Triple 406mm Main Gun")</f>
        <v>Triple 406mm Main Gun</v>
      </c>
      <c r="C125" s="407"/>
      <c r="D125" s="375" t="s">
        <v>2091</v>
      </c>
      <c r="E125" s="425">
        <v>24.02</v>
      </c>
      <c r="F125" s="372">
        <v>20.2</v>
      </c>
      <c r="G125" s="425" t="s">
        <v>1849</v>
      </c>
      <c r="H125" s="372">
        <v>14.14</v>
      </c>
      <c r="I125" s="372">
        <v>20.2</v>
      </c>
      <c r="J125" s="372">
        <v>18.18</v>
      </c>
      <c r="K125" s="425">
        <v>200.0</v>
      </c>
      <c r="L125" s="426"/>
      <c r="M125" s="425" t="s">
        <v>2056</v>
      </c>
      <c r="N125" s="425" t="s">
        <v>2052</v>
      </c>
      <c r="O125" s="427" t="s">
        <v>2057</v>
      </c>
      <c r="P125" s="430">
        <v>43619.0</v>
      </c>
      <c r="Q125" s="375" t="s">
        <v>2092</v>
      </c>
    </row>
    <row r="126" ht="56.25" customHeight="1">
      <c r="A126" s="365" t="s">
        <v>82</v>
      </c>
      <c r="B126" s="387" t="s">
        <v>2093</v>
      </c>
      <c r="C126" s="407"/>
      <c r="D126" s="368" t="s">
        <v>2094</v>
      </c>
      <c r="E126" s="428">
        <v>18.38</v>
      </c>
      <c r="F126" s="365">
        <v>15.8</v>
      </c>
      <c r="G126" s="428" t="s">
        <v>1866</v>
      </c>
      <c r="H126" s="365">
        <v>7.11</v>
      </c>
      <c r="I126" s="365">
        <v>20.54</v>
      </c>
      <c r="J126" s="365">
        <v>17.38</v>
      </c>
      <c r="K126" s="428">
        <v>200.0</v>
      </c>
      <c r="L126" s="384"/>
      <c r="M126" s="428" t="s">
        <v>1999</v>
      </c>
      <c r="N126" s="428" t="s">
        <v>2052</v>
      </c>
      <c r="O126" s="429" t="s">
        <v>2053</v>
      </c>
      <c r="P126" s="368"/>
      <c r="Q126" s="368" t="s">
        <v>2095</v>
      </c>
    </row>
    <row r="127" ht="56.25" customHeight="1">
      <c r="A127" s="372" t="s">
        <v>82</v>
      </c>
      <c r="B127" s="373" t="str">
        <f>HYPERLINK("https://azurlane.koumakan.jp/Quadruple_356mm_(BL_14%22_Mk_VII)#Type_3","Quadruple 356mm Main Gun")</f>
        <v>Quadruple 356mm Main Gun</v>
      </c>
      <c r="C127" s="407"/>
      <c r="D127" s="375" t="s">
        <v>2096</v>
      </c>
      <c r="E127" s="425">
        <v>29.19</v>
      </c>
      <c r="F127" s="372">
        <v>14.8</v>
      </c>
      <c r="G127" s="425" t="s">
        <v>1883</v>
      </c>
      <c r="H127" s="372">
        <v>20.72</v>
      </c>
      <c r="I127" s="372">
        <v>16.28</v>
      </c>
      <c r="J127" s="372">
        <v>13.32</v>
      </c>
      <c r="K127" s="425">
        <v>200.0</v>
      </c>
      <c r="L127" s="426"/>
      <c r="M127" s="425" t="s">
        <v>2035</v>
      </c>
      <c r="N127" s="425" t="s">
        <v>2052</v>
      </c>
      <c r="O127" s="427" t="s">
        <v>2072</v>
      </c>
      <c r="P127" s="417"/>
      <c r="Q127" s="375" t="s">
        <v>2097</v>
      </c>
    </row>
    <row r="128" ht="56.25" customHeight="1">
      <c r="A128" s="365" t="s">
        <v>82</v>
      </c>
      <c r="B128" s="366" t="str">
        <f>HYPERLINK("https://azurlane.koumakan.jp/Twin_410mm_(Type_3_Shell)#Type_0","Twin 410mm (Type 3, Sanshikidan)")</f>
        <v>Twin 410mm (Type 3, Sanshikidan)</v>
      </c>
      <c r="C128" s="407"/>
      <c r="D128" s="368" t="s">
        <v>2098</v>
      </c>
      <c r="E128" s="428">
        <v>19.29</v>
      </c>
      <c r="F128" s="365">
        <v>12.55</v>
      </c>
      <c r="G128" s="428" t="s">
        <v>2099</v>
      </c>
      <c r="H128" s="365">
        <v>17.57</v>
      </c>
      <c r="I128" s="365">
        <v>13.8</v>
      </c>
      <c r="J128" s="365">
        <v>11.29</v>
      </c>
      <c r="K128" s="428">
        <v>200.0</v>
      </c>
      <c r="L128" s="384"/>
      <c r="M128" s="428" t="s">
        <v>2003</v>
      </c>
      <c r="N128" s="428" t="s">
        <v>2052</v>
      </c>
      <c r="O128" s="429" t="s">
        <v>2100</v>
      </c>
      <c r="P128" s="368" t="s">
        <v>2101</v>
      </c>
      <c r="Q128" s="368" t="s">
        <v>2102</v>
      </c>
    </row>
    <row r="129" ht="56.25" customHeight="1">
      <c r="A129" s="372" t="s">
        <v>82</v>
      </c>
      <c r="B129" s="373" t="str">
        <f>HYPERLINK("https://azurlane.koumakan.jp/Quadruple_380mm_(Mle_1935)#Type_3","Quadruple 380mm (Mle 1935)")</f>
        <v>Quadruple 380mm (Mle 1935)</v>
      </c>
      <c r="C129" s="407"/>
      <c r="D129" s="375" t="s">
        <v>2103</v>
      </c>
      <c r="E129" s="425">
        <v>25.8</v>
      </c>
      <c r="F129" s="372">
        <v>18.5</v>
      </c>
      <c r="G129" s="425" t="s">
        <v>1883</v>
      </c>
      <c r="H129" s="372">
        <v>25.9</v>
      </c>
      <c r="I129" s="372">
        <v>20.35</v>
      </c>
      <c r="J129" s="372">
        <v>16.65</v>
      </c>
      <c r="K129" s="425">
        <v>200.0</v>
      </c>
      <c r="L129" s="426"/>
      <c r="M129" s="425" t="s">
        <v>1950</v>
      </c>
      <c r="N129" s="425" t="s">
        <v>1952</v>
      </c>
      <c r="O129" s="427" t="s">
        <v>2076</v>
      </c>
      <c r="P129" s="376" t="s">
        <v>1879</v>
      </c>
      <c r="Q129" s="419" t="s">
        <v>2104</v>
      </c>
    </row>
    <row r="130" ht="56.25" customHeight="1">
      <c r="A130" s="365" t="s">
        <v>82</v>
      </c>
      <c r="B130" s="366" t="str">
        <f>HYPERLINK("https://azurlane.koumakan.jp/Triple_381mm_(Model_1934)#Type_3","Triple 381mm Main Gun (M1934)")</f>
        <v>Triple 381mm Main Gun (M1934)</v>
      </c>
      <c r="C130" s="407"/>
      <c r="D130" s="368" t="s">
        <v>2105</v>
      </c>
      <c r="E130" s="428">
        <v>24.02</v>
      </c>
      <c r="F130" s="365">
        <v>18.48</v>
      </c>
      <c r="G130" s="428" t="s">
        <v>1985</v>
      </c>
      <c r="H130" s="365">
        <v>7.39</v>
      </c>
      <c r="I130" s="365">
        <v>24.95</v>
      </c>
      <c r="J130" s="365">
        <v>21.26</v>
      </c>
      <c r="K130" s="428">
        <v>200.0</v>
      </c>
      <c r="L130" s="384"/>
      <c r="M130" s="428" t="s">
        <v>1950</v>
      </c>
      <c r="N130" s="428" t="s">
        <v>2052</v>
      </c>
      <c r="O130" s="429" t="s">
        <v>2057</v>
      </c>
      <c r="P130" s="368" t="s">
        <v>1885</v>
      </c>
      <c r="Q130" s="368" t="s">
        <v>2106</v>
      </c>
    </row>
    <row r="131" ht="56.25" customHeight="1">
      <c r="A131" s="372" t="s">
        <v>82</v>
      </c>
      <c r="B131" s="373" t="str">
        <f>HYPERLINK("https://azurlane.koumakan.jp/Twin_381mm_(BL_15%22_Mk_II)#Type_0","Twin 381mm (BL 15"" Mk II)")</f>
        <v>Twin 381mm (BL 15" Mk II)</v>
      </c>
      <c r="C131" s="407"/>
      <c r="D131" s="375" t="s">
        <v>2107</v>
      </c>
      <c r="E131" s="425">
        <v>17.96</v>
      </c>
      <c r="F131" s="372">
        <v>16.29</v>
      </c>
      <c r="G131" s="425" t="s">
        <v>1883</v>
      </c>
      <c r="H131" s="372">
        <v>22.81</v>
      </c>
      <c r="I131" s="372">
        <v>17.92</v>
      </c>
      <c r="J131" s="372">
        <v>14.66</v>
      </c>
      <c r="K131" s="425">
        <v>200.0</v>
      </c>
      <c r="L131" s="426"/>
      <c r="M131" s="425" t="s">
        <v>1999</v>
      </c>
      <c r="N131" s="425" t="s">
        <v>2052</v>
      </c>
      <c r="O131" s="427" t="s">
        <v>2053</v>
      </c>
      <c r="P131" s="375" t="s">
        <v>2108</v>
      </c>
      <c r="Q131" s="375" t="s">
        <v>2109</v>
      </c>
    </row>
    <row r="132" ht="56.25" customHeight="1">
      <c r="A132" s="365" t="s">
        <v>82</v>
      </c>
      <c r="B132" s="387" t="s">
        <v>2048</v>
      </c>
      <c r="C132" s="407"/>
      <c r="D132" s="368" t="s">
        <v>2049</v>
      </c>
      <c r="E132" s="428">
        <v>18.2</v>
      </c>
      <c r="F132" s="365">
        <v>17.31</v>
      </c>
      <c r="G132" s="428" t="s">
        <v>1883</v>
      </c>
      <c r="H132" s="365">
        <v>24.23</v>
      </c>
      <c r="I132" s="365">
        <v>19.04</v>
      </c>
      <c r="J132" s="365">
        <v>15.58</v>
      </c>
      <c r="K132" s="428">
        <v>200.0</v>
      </c>
      <c r="L132" s="384"/>
      <c r="M132" s="428" t="s">
        <v>2056</v>
      </c>
      <c r="N132" s="428" t="s">
        <v>2052</v>
      </c>
      <c r="O132" s="429" t="s">
        <v>2057</v>
      </c>
      <c r="P132" s="368" t="s">
        <v>1928</v>
      </c>
      <c r="Q132" s="368"/>
    </row>
    <row r="133" ht="56.25" customHeight="1">
      <c r="A133" s="372" t="s">
        <v>82</v>
      </c>
      <c r="B133" s="389" t="s">
        <v>2110</v>
      </c>
      <c r="C133" s="407"/>
      <c r="D133" s="375" t="s">
        <v>2091</v>
      </c>
      <c r="E133" s="425">
        <v>24.2</v>
      </c>
      <c r="F133" s="372">
        <v>20.04</v>
      </c>
      <c r="G133" s="425" t="s">
        <v>2111</v>
      </c>
      <c r="H133" s="372">
        <v>9.02</v>
      </c>
      <c r="I133" s="372">
        <v>26.05</v>
      </c>
      <c r="J133" s="372">
        <v>23.04</v>
      </c>
      <c r="K133" s="425">
        <v>200.0</v>
      </c>
      <c r="L133" s="426"/>
      <c r="M133" s="425" t="s">
        <v>2056</v>
      </c>
      <c r="N133" s="425" t="s">
        <v>2052</v>
      </c>
      <c r="O133" s="427" t="s">
        <v>2057</v>
      </c>
      <c r="P133" s="375" t="s">
        <v>1871</v>
      </c>
      <c r="Q133" s="375"/>
    </row>
    <row r="134" ht="56.25" customHeight="1">
      <c r="A134" s="365" t="s">
        <v>82</v>
      </c>
      <c r="B134" s="366" t="str">
        <f>HYPERLINK("https://azurlane.koumakan.jp/Triple_410mm_(10th_Year_Type_Prototype)#Type_0","Triple 410mm Prototype (Type 10)")</f>
        <v>Triple 410mm Prototype (Type 10)</v>
      </c>
      <c r="C134" s="407"/>
      <c r="D134" s="368" t="s">
        <v>2091</v>
      </c>
      <c r="E134" s="428">
        <v>24.14</v>
      </c>
      <c r="F134" s="365">
        <v>20.1</v>
      </c>
      <c r="G134" s="428" t="s">
        <v>1866</v>
      </c>
      <c r="H134" s="365">
        <v>9.04</v>
      </c>
      <c r="I134" s="365">
        <v>26.12</v>
      </c>
      <c r="J134" s="365">
        <v>22.1</v>
      </c>
      <c r="K134" s="428">
        <v>200.0</v>
      </c>
      <c r="L134" s="384"/>
      <c r="M134" s="428" t="s">
        <v>2056</v>
      </c>
      <c r="N134" s="428" t="s">
        <v>2052</v>
      </c>
      <c r="O134" s="429" t="s">
        <v>2057</v>
      </c>
      <c r="P134" s="368" t="s">
        <v>1990</v>
      </c>
      <c r="Q134" s="368"/>
    </row>
    <row r="135" ht="56.25" customHeight="1">
      <c r="A135" s="372" t="s">
        <v>82</v>
      </c>
      <c r="B135" s="389" t="s">
        <v>2112</v>
      </c>
      <c r="C135" s="407"/>
      <c r="D135" s="375" t="s">
        <v>2113</v>
      </c>
      <c r="E135" s="425">
        <v>18.95</v>
      </c>
      <c r="F135" s="372">
        <v>19.27</v>
      </c>
      <c r="G135" s="425" t="s">
        <v>2114</v>
      </c>
      <c r="H135" s="372">
        <v>7.71</v>
      </c>
      <c r="I135" s="372">
        <v>26.98</v>
      </c>
      <c r="J135" s="372">
        <v>22.16</v>
      </c>
      <c r="K135" s="425">
        <v>200.0</v>
      </c>
      <c r="L135" s="426"/>
      <c r="M135" s="425" t="s">
        <v>1878</v>
      </c>
      <c r="N135" s="425" t="s">
        <v>2052</v>
      </c>
      <c r="O135" s="427" t="s">
        <v>2053</v>
      </c>
      <c r="P135" s="375" t="s">
        <v>1871</v>
      </c>
      <c r="Q135" s="375" t="s">
        <v>2115</v>
      </c>
    </row>
    <row r="136" ht="56.25" customHeight="1">
      <c r="A136" s="365" t="s">
        <v>82</v>
      </c>
      <c r="B136" s="366" t="str">
        <f>HYPERLINK("https://azurlane.koumakan.jp/Twin_406mm_(SK_C/34_Prototype)#Type_0","Twin 406mm (SK C/34 Prototype)")</f>
        <v>Twin 406mm (SK C/34 Prototype)</v>
      </c>
      <c r="C136" s="407"/>
      <c r="D136" s="368" t="s">
        <v>2081</v>
      </c>
      <c r="E136" s="428">
        <v>19.43</v>
      </c>
      <c r="F136" s="365">
        <v>17.45</v>
      </c>
      <c r="G136" s="428" t="s">
        <v>1883</v>
      </c>
      <c r="H136" s="365">
        <v>24.42</v>
      </c>
      <c r="I136" s="365">
        <v>19.19</v>
      </c>
      <c r="J136" s="365">
        <v>15.7</v>
      </c>
      <c r="K136" s="428">
        <v>200.0</v>
      </c>
      <c r="L136" s="384"/>
      <c r="M136" s="428" t="s">
        <v>1999</v>
      </c>
      <c r="N136" s="428" t="s">
        <v>2052</v>
      </c>
      <c r="O136" s="429" t="s">
        <v>2053</v>
      </c>
      <c r="P136" s="368" t="s">
        <v>2000</v>
      </c>
      <c r="Q136" s="368" t="s">
        <v>2116</v>
      </c>
    </row>
    <row r="137" ht="56.25" customHeight="1">
      <c r="A137" s="372" t="s">
        <v>82</v>
      </c>
      <c r="B137" s="389" t="s">
        <v>2117</v>
      </c>
      <c r="C137" s="407"/>
      <c r="D137" s="375" t="s">
        <v>2118</v>
      </c>
      <c r="E137" s="425">
        <v>24.02</v>
      </c>
      <c r="F137" s="372">
        <v>20.61</v>
      </c>
      <c r="G137" s="425" t="s">
        <v>2119</v>
      </c>
      <c r="H137" s="372">
        <v>8.24</v>
      </c>
      <c r="I137" s="372">
        <v>28.85</v>
      </c>
      <c r="J137" s="372">
        <v>24.73</v>
      </c>
      <c r="K137" s="425">
        <v>200.0</v>
      </c>
      <c r="L137" s="426"/>
      <c r="M137" s="425" t="s">
        <v>1947</v>
      </c>
      <c r="N137" s="425" t="s">
        <v>2052</v>
      </c>
      <c r="O137" s="427" t="s">
        <v>2057</v>
      </c>
      <c r="P137" s="375" t="s">
        <v>1928</v>
      </c>
      <c r="Q137" s="375" t="s">
        <v>2120</v>
      </c>
    </row>
    <row r="138" ht="56.25" customHeight="1">
      <c r="A138" s="365" t="s">
        <v>82</v>
      </c>
      <c r="B138" s="387" t="s">
        <v>2121</v>
      </c>
      <c r="C138" s="407"/>
      <c r="D138" s="368" t="s">
        <v>2122</v>
      </c>
      <c r="E138" s="428">
        <v>23.94</v>
      </c>
      <c r="F138" s="365">
        <v>20.13</v>
      </c>
      <c r="G138" s="428" t="s">
        <v>2032</v>
      </c>
      <c r="H138" s="365">
        <v>20.13</v>
      </c>
      <c r="I138" s="365">
        <v>30.2</v>
      </c>
      <c r="J138" s="365">
        <v>10.07</v>
      </c>
      <c r="K138" s="428">
        <v>200.0</v>
      </c>
      <c r="L138" s="384"/>
      <c r="M138" s="428" t="s">
        <v>1980</v>
      </c>
      <c r="N138" s="428" t="s">
        <v>2052</v>
      </c>
      <c r="O138" s="429" t="s">
        <v>2057</v>
      </c>
      <c r="P138" s="368" t="s">
        <v>2050</v>
      </c>
      <c r="Q138" s="368"/>
    </row>
    <row r="139" ht="56.25" customHeight="1">
      <c r="A139" s="372" t="s">
        <v>82</v>
      </c>
      <c r="B139" s="373" t="str">
        <f>HYPERLINK("https://azurlane.koumakan.jp/Triple_381mm_(BL_15%22_Mk_III_Prototype)#Type_0","Triple 381mm Prototype (BL 15"" Mk III)")</f>
        <v>Triple 381mm Prototype (BL 15" Mk III)</v>
      </c>
      <c r="C139" s="407"/>
      <c r="D139" s="375" t="s">
        <v>2123</v>
      </c>
      <c r="E139" s="425">
        <v>23.15</v>
      </c>
      <c r="F139" s="372">
        <v>19.33</v>
      </c>
      <c r="G139" s="425" t="s">
        <v>1883</v>
      </c>
      <c r="H139" s="372">
        <v>27.06</v>
      </c>
      <c r="I139" s="372">
        <v>21.26</v>
      </c>
      <c r="J139" s="372">
        <v>17.4</v>
      </c>
      <c r="K139" s="425">
        <v>200.0</v>
      </c>
      <c r="L139" s="426"/>
      <c r="M139" s="425" t="s">
        <v>2056</v>
      </c>
      <c r="N139" s="425" t="s">
        <v>2052</v>
      </c>
      <c r="O139" s="427" t="s">
        <v>2057</v>
      </c>
      <c r="P139" s="375" t="s">
        <v>1990</v>
      </c>
      <c r="Q139" s="375" t="s">
        <v>2124</v>
      </c>
    </row>
    <row r="140" ht="56.25" customHeight="1">
      <c r="A140" s="365" t="s">
        <v>82</v>
      </c>
      <c r="B140" s="387" t="s">
        <v>2125</v>
      </c>
      <c r="C140" s="422"/>
      <c r="D140" s="368" t="s">
        <v>2126</v>
      </c>
      <c r="E140" s="428">
        <v>24.22</v>
      </c>
      <c r="F140" s="365">
        <v>21.72</v>
      </c>
      <c r="G140" s="428" t="s">
        <v>1883</v>
      </c>
      <c r="H140" s="365">
        <v>30.41</v>
      </c>
      <c r="I140" s="365">
        <v>23.89</v>
      </c>
      <c r="J140" s="365">
        <v>19.55</v>
      </c>
      <c r="K140" s="428">
        <v>200.0</v>
      </c>
      <c r="L140" s="384"/>
      <c r="M140" s="428" t="s">
        <v>2056</v>
      </c>
      <c r="N140" s="428" t="s">
        <v>2052</v>
      </c>
      <c r="O140" s="429" t="s">
        <v>2057</v>
      </c>
      <c r="P140" s="368" t="s">
        <v>90</v>
      </c>
      <c r="Q140" s="368"/>
    </row>
    <row r="141" ht="56.25" customHeight="1">
      <c r="A141" s="372" t="s">
        <v>82</v>
      </c>
      <c r="B141" s="373" t="str">
        <f>HYPERLINK("https://azurlane.koumakan.jp/Twin_457mm_(Mark_A_Prototype)#Type_0","Twin 457mm (Mark A Prototype)")</f>
        <v>Twin 457mm (Mark A Prototype)</v>
      </c>
      <c r="C141" s="422"/>
      <c r="D141" s="375" t="s">
        <v>2127</v>
      </c>
      <c r="E141" s="425">
        <v>20.65</v>
      </c>
      <c r="F141" s="372">
        <v>21.05</v>
      </c>
      <c r="G141" s="425" t="s">
        <v>1988</v>
      </c>
      <c r="H141" s="372">
        <v>11.58</v>
      </c>
      <c r="I141" s="372">
        <v>30.52</v>
      </c>
      <c r="J141" s="372">
        <v>26.31</v>
      </c>
      <c r="K141" s="425">
        <v>200.0</v>
      </c>
      <c r="L141" s="426"/>
      <c r="M141" s="425" t="s">
        <v>2128</v>
      </c>
      <c r="N141" s="425" t="s">
        <v>2052</v>
      </c>
      <c r="O141" s="427" t="s">
        <v>2053</v>
      </c>
      <c r="P141" s="375" t="s">
        <v>2000</v>
      </c>
      <c r="Q141" s="375"/>
    </row>
    <row r="142">
      <c r="A142" s="409"/>
      <c r="B142" s="410"/>
      <c r="C142" s="436"/>
      <c r="D142" s="410"/>
      <c r="E142" s="437"/>
      <c r="F142" s="438"/>
      <c r="G142" s="415"/>
      <c r="H142" s="438"/>
      <c r="I142" s="438"/>
      <c r="J142" s="438"/>
      <c r="K142" s="410"/>
      <c r="L142" s="410"/>
      <c r="M142" s="423"/>
      <c r="N142" s="423"/>
      <c r="O142" s="415"/>
      <c r="P142" s="410"/>
      <c r="Q142" s="415"/>
    </row>
    <row r="143" ht="56.25" customHeight="1">
      <c r="A143" s="372" t="s">
        <v>2129</v>
      </c>
      <c r="B143" s="373" t="str">
        <f>HYPERLINK("https://azurlane.koumakan.jp/550mm_Twin_Torpedo_Launcher","550mm Twin Torpedo Launcher")</f>
        <v>550mm Twin Torpedo Launcher</v>
      </c>
      <c r="C143" s="439"/>
      <c r="D143" s="375" t="s">
        <v>2130</v>
      </c>
      <c r="E143" s="440">
        <v>19.42</v>
      </c>
      <c r="F143" s="441" t="s">
        <v>551</v>
      </c>
      <c r="G143" s="375" t="s">
        <v>551</v>
      </c>
      <c r="H143" s="442">
        <v>8.9</v>
      </c>
      <c r="I143" s="442">
        <v>11.12</v>
      </c>
      <c r="J143" s="442">
        <v>14.46</v>
      </c>
      <c r="K143" s="375">
        <v>50.0</v>
      </c>
      <c r="L143" s="426"/>
      <c r="M143" s="425" t="s">
        <v>1937</v>
      </c>
      <c r="N143" s="425" t="s">
        <v>2131</v>
      </c>
      <c r="O143" s="417"/>
      <c r="P143" s="375" t="s">
        <v>474</v>
      </c>
      <c r="Q143" s="375" t="s">
        <v>2132</v>
      </c>
    </row>
    <row r="144" ht="56.25" customHeight="1">
      <c r="A144" s="365" t="s">
        <v>2129</v>
      </c>
      <c r="B144" s="366" t="str">
        <f>HYPERLINK("https://azurlane.koumakan.jp/610mm_Twin_Torpedo_Mount#Type_3","610mm Twin Torpedo Mount")</f>
        <v>610mm Twin Torpedo Mount</v>
      </c>
      <c r="C144" s="439"/>
      <c r="D144" s="368" t="s">
        <v>2133</v>
      </c>
      <c r="E144" s="443">
        <v>20.75</v>
      </c>
      <c r="F144" s="444" t="s">
        <v>551</v>
      </c>
      <c r="G144" s="368" t="s">
        <v>551</v>
      </c>
      <c r="H144" s="445">
        <v>11.57</v>
      </c>
      <c r="I144" s="445">
        <v>14.46</v>
      </c>
      <c r="J144" s="445">
        <v>18.8</v>
      </c>
      <c r="K144" s="368">
        <v>60.0</v>
      </c>
      <c r="L144" s="384"/>
      <c r="M144" s="428" t="s">
        <v>1907</v>
      </c>
      <c r="N144" s="428" t="s">
        <v>2131</v>
      </c>
      <c r="O144" s="368" t="s">
        <v>2134</v>
      </c>
      <c r="P144" s="431">
        <v>43497.0</v>
      </c>
      <c r="Q144" s="368" t="s">
        <v>2135</v>
      </c>
    </row>
    <row r="145" ht="56.25" customHeight="1">
      <c r="A145" s="372" t="s">
        <v>2129</v>
      </c>
      <c r="B145" s="373" t="str">
        <f>HYPERLINK("https://azurlane.koumakan.jp/533mm_Triple_Torpedo_Mount#Type_3","533mm Triple Torpedo Mount")</f>
        <v>533mm Triple Torpedo Mount</v>
      </c>
      <c r="C145" s="439"/>
      <c r="D145" s="375" t="s">
        <v>2136</v>
      </c>
      <c r="E145" s="440">
        <v>21.87</v>
      </c>
      <c r="F145" s="441" t="s">
        <v>551</v>
      </c>
      <c r="G145" s="375" t="s">
        <v>551</v>
      </c>
      <c r="H145" s="442">
        <v>12.73</v>
      </c>
      <c r="I145" s="442">
        <v>15.91</v>
      </c>
      <c r="J145" s="442">
        <v>20.69</v>
      </c>
      <c r="K145" s="375">
        <v>50.0</v>
      </c>
      <c r="L145" s="426"/>
      <c r="M145" s="425" t="s">
        <v>1937</v>
      </c>
      <c r="N145" s="425" t="s">
        <v>2131</v>
      </c>
      <c r="O145" s="417"/>
      <c r="P145" s="430">
        <v>43500.0</v>
      </c>
      <c r="Q145" s="375" t="s">
        <v>2137</v>
      </c>
    </row>
    <row r="146" ht="56.25" customHeight="1">
      <c r="A146" s="365" t="s">
        <v>2129</v>
      </c>
      <c r="B146" s="387" t="s">
        <v>2138</v>
      </c>
      <c r="C146" s="439"/>
      <c r="D146" s="368" t="s">
        <v>2139</v>
      </c>
      <c r="E146" s="444">
        <v>23.38</v>
      </c>
      <c r="F146" s="444" t="s">
        <v>551</v>
      </c>
      <c r="G146" s="368" t="s">
        <v>551</v>
      </c>
      <c r="H146" s="365">
        <v>13.14</v>
      </c>
      <c r="I146" s="365">
        <v>16.42</v>
      </c>
      <c r="J146" s="365">
        <v>21.35</v>
      </c>
      <c r="K146" s="368">
        <v>50.0</v>
      </c>
      <c r="L146" s="384"/>
      <c r="M146" s="434" t="s">
        <v>2131</v>
      </c>
      <c r="N146" s="428" t="s">
        <v>2131</v>
      </c>
      <c r="O146" s="416"/>
      <c r="P146" s="368" t="s">
        <v>1871</v>
      </c>
      <c r="Q146" s="368"/>
    </row>
    <row r="147" ht="56.25" customHeight="1">
      <c r="A147" s="372" t="s">
        <v>2129</v>
      </c>
      <c r="B147" s="389" t="s">
        <v>2140</v>
      </c>
      <c r="C147" s="439"/>
      <c r="D147" s="375" t="s">
        <v>2141</v>
      </c>
      <c r="E147" s="441">
        <v>21.44</v>
      </c>
      <c r="F147" s="441" t="s">
        <v>551</v>
      </c>
      <c r="G147" s="375" t="s">
        <v>551</v>
      </c>
      <c r="H147" s="372">
        <v>13.43</v>
      </c>
      <c r="I147" s="372">
        <v>16.79</v>
      </c>
      <c r="J147" s="372">
        <v>21.83</v>
      </c>
      <c r="K147" s="441">
        <v>50.0</v>
      </c>
      <c r="L147" s="426"/>
      <c r="M147" s="432" t="s">
        <v>2131</v>
      </c>
      <c r="N147" s="425" t="s">
        <v>2131</v>
      </c>
      <c r="O147" s="417"/>
      <c r="P147" s="375" t="s">
        <v>1871</v>
      </c>
      <c r="Q147" s="375"/>
    </row>
    <row r="148" ht="56.25" customHeight="1">
      <c r="A148" s="365" t="s">
        <v>2129</v>
      </c>
      <c r="B148" s="366" t="str">
        <f>HYPERLINK("https://azurlane.koumakan.jp/533mm_Triple_Homing_Torpedo_Mount#Type_3","533mm Triple Homing Torpedo Mount")</f>
        <v>533mm Triple Homing Torpedo Mount</v>
      </c>
      <c r="C148" s="446"/>
      <c r="D148" s="368" t="s">
        <v>2142</v>
      </c>
      <c r="E148" s="443">
        <v>22.22</v>
      </c>
      <c r="F148" s="444" t="s">
        <v>551</v>
      </c>
      <c r="G148" s="368" t="s">
        <v>551</v>
      </c>
      <c r="H148" s="445">
        <v>15.66</v>
      </c>
      <c r="I148" s="445">
        <v>19.58</v>
      </c>
      <c r="J148" s="445">
        <v>25.45</v>
      </c>
      <c r="K148" s="368">
        <v>52.0</v>
      </c>
      <c r="L148" s="384"/>
      <c r="M148" s="428" t="s">
        <v>1937</v>
      </c>
      <c r="N148" s="428" t="s">
        <v>2131</v>
      </c>
      <c r="O148" s="368" t="s">
        <v>2143</v>
      </c>
      <c r="P148" s="416"/>
      <c r="Q148" s="368" t="s">
        <v>2144</v>
      </c>
    </row>
    <row r="149" ht="56.25" customHeight="1">
      <c r="A149" s="421" t="s">
        <v>2129</v>
      </c>
      <c r="B149" s="396" t="str">
        <f>HYPERLINK("https://azurlane.koumakan.jp/533mm_Quadruple_Homing_Torpedo_Mount#Type_2","533mm Quadruple Homing Torpedo Mount")</f>
        <v>533mm Quadruple Homing Torpedo Mount</v>
      </c>
      <c r="C149" s="403"/>
      <c r="D149" s="398" t="s">
        <v>2145</v>
      </c>
      <c r="E149" s="441">
        <v>26.8</v>
      </c>
      <c r="F149" s="441" t="s">
        <v>551</v>
      </c>
      <c r="G149" s="375" t="s">
        <v>551</v>
      </c>
      <c r="H149" s="372">
        <v>15.88</v>
      </c>
      <c r="I149" s="372">
        <v>19.85</v>
      </c>
      <c r="J149" s="372">
        <v>25.81</v>
      </c>
      <c r="K149" s="447">
        <v>52.0</v>
      </c>
      <c r="L149" s="426"/>
      <c r="M149" s="432" t="s">
        <v>2052</v>
      </c>
      <c r="N149" s="432" t="s">
        <v>2131</v>
      </c>
      <c r="O149" s="448" t="s">
        <v>2143</v>
      </c>
      <c r="P149" s="375" t="s">
        <v>2146</v>
      </c>
      <c r="Q149" s="375" t="s">
        <v>2147</v>
      </c>
    </row>
    <row r="150" ht="56.25" customHeight="1">
      <c r="A150" s="404" t="s">
        <v>2129</v>
      </c>
      <c r="B150" s="405" t="str">
        <f>HYPERLINK("https://azurlane.koumakan.jp/533mm_Quintuple_Homing_Torpedo_Mount#Type_1","533mm Quintuple Homing Torpedo Mount")</f>
        <v>533mm Quintuple Homing Torpedo Mount</v>
      </c>
      <c r="C150" s="403"/>
      <c r="D150" s="400" t="s">
        <v>2148</v>
      </c>
      <c r="E150" s="444">
        <v>32.46</v>
      </c>
      <c r="F150" s="444" t="s">
        <v>551</v>
      </c>
      <c r="G150" s="368" t="s">
        <v>551</v>
      </c>
      <c r="H150" s="365">
        <v>15.16</v>
      </c>
      <c r="I150" s="365">
        <v>18.95</v>
      </c>
      <c r="J150" s="365">
        <v>24.63</v>
      </c>
      <c r="K150" s="449">
        <v>52.0</v>
      </c>
      <c r="L150" s="384"/>
      <c r="M150" s="434" t="s">
        <v>2131</v>
      </c>
      <c r="N150" s="434" t="s">
        <v>2131</v>
      </c>
      <c r="O150" s="450" t="s">
        <v>2143</v>
      </c>
      <c r="P150" s="368"/>
      <c r="Q150" s="368" t="s">
        <v>2149</v>
      </c>
    </row>
    <row r="151" ht="56.25" customHeight="1">
      <c r="A151" s="372" t="s">
        <v>2129</v>
      </c>
      <c r="B151" s="373" t="str">
        <f>HYPERLINK("https://azurlane.koumakan.jp/550mm_Triple_Torpedo_Launcher#Type_3","550mm Triple Torpedo Launcher")</f>
        <v>550mm Triple Torpedo Launcher</v>
      </c>
      <c r="C151" s="446"/>
      <c r="D151" s="375" t="s">
        <v>2150</v>
      </c>
      <c r="E151" s="440">
        <v>20.69</v>
      </c>
      <c r="F151" s="441" t="s">
        <v>551</v>
      </c>
      <c r="G151" s="375" t="s">
        <v>551</v>
      </c>
      <c r="H151" s="442">
        <v>18.79</v>
      </c>
      <c r="I151" s="442">
        <v>23.49</v>
      </c>
      <c r="J151" s="442">
        <v>30.54</v>
      </c>
      <c r="K151" s="375">
        <v>50.0</v>
      </c>
      <c r="L151" s="426"/>
      <c r="M151" s="425" t="s">
        <v>2052</v>
      </c>
      <c r="N151" s="425" t="s">
        <v>2131</v>
      </c>
      <c r="O151" s="417"/>
      <c r="P151" s="375" t="s">
        <v>474</v>
      </c>
      <c r="Q151" s="375" t="s">
        <v>2151</v>
      </c>
    </row>
    <row r="152" ht="56.25" customHeight="1">
      <c r="A152" s="365" t="s">
        <v>2129</v>
      </c>
      <c r="B152" s="366" t="str">
        <f>HYPERLINK("https://azurlane.koumakan.jp/610mm_Triple_Torpedo_Mount#Type_3","610mm Triple Torpedo Mount")</f>
        <v>610mm Triple Torpedo Mount</v>
      </c>
      <c r="C152" s="446"/>
      <c r="D152" s="368" t="s">
        <v>2152</v>
      </c>
      <c r="E152" s="443">
        <v>24.52</v>
      </c>
      <c r="F152" s="444" t="s">
        <v>551</v>
      </c>
      <c r="G152" s="368" t="s">
        <v>551</v>
      </c>
      <c r="H152" s="445">
        <v>20.16</v>
      </c>
      <c r="I152" s="445">
        <v>25.2</v>
      </c>
      <c r="J152" s="445">
        <v>32.77</v>
      </c>
      <c r="K152" s="368">
        <v>60.0</v>
      </c>
      <c r="L152" s="384"/>
      <c r="M152" s="428" t="s">
        <v>1937</v>
      </c>
      <c r="N152" s="428" t="s">
        <v>2131</v>
      </c>
      <c r="O152" s="368" t="s">
        <v>2134</v>
      </c>
      <c r="P152" s="368" t="s">
        <v>2153</v>
      </c>
      <c r="Q152" s="368" t="s">
        <v>2154</v>
      </c>
    </row>
    <row r="153" ht="56.25" customHeight="1">
      <c r="A153" s="372" t="s">
        <v>2129</v>
      </c>
      <c r="B153" s="389" t="s">
        <v>2155</v>
      </c>
      <c r="C153" s="446"/>
      <c r="D153" s="375" t="s">
        <v>2156</v>
      </c>
      <c r="E153" s="441">
        <v>23.41</v>
      </c>
      <c r="F153" s="441" t="s">
        <v>551</v>
      </c>
      <c r="G153" s="375" t="s">
        <v>551</v>
      </c>
      <c r="H153" s="372">
        <v>21.53</v>
      </c>
      <c r="I153" s="372">
        <v>26.91</v>
      </c>
      <c r="J153" s="372">
        <v>34.99</v>
      </c>
      <c r="K153" s="375">
        <v>60.0</v>
      </c>
      <c r="L153" s="426"/>
      <c r="M153" s="425" t="s">
        <v>1937</v>
      </c>
      <c r="N153" s="425" t="s">
        <v>2131</v>
      </c>
      <c r="O153" s="375"/>
      <c r="P153" s="375" t="s">
        <v>1871</v>
      </c>
      <c r="Q153" s="375"/>
    </row>
    <row r="154" ht="56.25" customHeight="1">
      <c r="A154" s="404" t="s">
        <v>2129</v>
      </c>
      <c r="B154" s="405" t="str">
        <f>HYPERLINK("https://azurlane.koumakan.jp/610mm_Quadruple_Torpedo_Mount#Type_2","610mm Quadruple Torpedo Mount")</f>
        <v>610mm Quadruple Torpedo Mount</v>
      </c>
      <c r="C154" s="403"/>
      <c r="D154" s="400" t="s">
        <v>2157</v>
      </c>
      <c r="E154" s="444">
        <v>30.04</v>
      </c>
      <c r="F154" s="444" t="s">
        <v>551</v>
      </c>
      <c r="G154" s="368" t="s">
        <v>551</v>
      </c>
      <c r="H154" s="365">
        <v>18.96</v>
      </c>
      <c r="I154" s="365">
        <v>23.7</v>
      </c>
      <c r="J154" s="365">
        <v>30.81</v>
      </c>
      <c r="K154" s="450">
        <v>60.0</v>
      </c>
      <c r="L154" s="384"/>
      <c r="M154" s="434" t="s">
        <v>2052</v>
      </c>
      <c r="N154" s="434" t="s">
        <v>2131</v>
      </c>
      <c r="O154" s="450" t="s">
        <v>2134</v>
      </c>
      <c r="P154" s="368" t="s">
        <v>2158</v>
      </c>
      <c r="Q154" s="368" t="s">
        <v>2159</v>
      </c>
    </row>
    <row r="155" ht="56.25" customHeight="1">
      <c r="A155" s="372" t="s">
        <v>2129</v>
      </c>
      <c r="B155" s="373" t="str">
        <f>HYPERLINK("https://azurlane.koumakan.jp/533mm_Quadruple_Torpedo_Mount#Type_3","533mm Quadruple Torpedo Mount")</f>
        <v>533mm Quadruple Torpedo Mount</v>
      </c>
      <c r="C155" s="446"/>
      <c r="D155" s="375" t="s">
        <v>2160</v>
      </c>
      <c r="E155" s="440">
        <v>23.14</v>
      </c>
      <c r="F155" s="441" t="s">
        <v>551</v>
      </c>
      <c r="G155" s="375" t="s">
        <v>551</v>
      </c>
      <c r="H155" s="442">
        <v>21.57</v>
      </c>
      <c r="I155" s="442">
        <v>26.97</v>
      </c>
      <c r="J155" s="442">
        <v>35.06</v>
      </c>
      <c r="K155" s="441">
        <v>50.0</v>
      </c>
      <c r="L155" s="426"/>
      <c r="M155" s="425" t="s">
        <v>2052</v>
      </c>
      <c r="N155" s="425" t="s">
        <v>2131</v>
      </c>
      <c r="O155" s="417"/>
      <c r="P155" s="430">
        <v>43587.0</v>
      </c>
      <c r="Q155" s="375" t="s">
        <v>2161</v>
      </c>
    </row>
    <row r="156" ht="56.25" customHeight="1">
      <c r="A156" s="365" t="s">
        <v>2129</v>
      </c>
      <c r="B156" s="387" t="s">
        <v>2162</v>
      </c>
      <c r="C156" s="446"/>
      <c r="D156" s="368" t="s">
        <v>2163</v>
      </c>
      <c r="E156" s="444">
        <v>24.7</v>
      </c>
      <c r="F156" s="444" t="s">
        <v>551</v>
      </c>
      <c r="G156" s="368" t="s">
        <v>551</v>
      </c>
      <c r="H156" s="365">
        <v>22.28</v>
      </c>
      <c r="I156" s="365">
        <v>27.85</v>
      </c>
      <c r="J156" s="365">
        <v>36.21</v>
      </c>
      <c r="K156" s="444">
        <v>50.0</v>
      </c>
      <c r="L156" s="384"/>
      <c r="M156" s="434" t="s">
        <v>2131</v>
      </c>
      <c r="N156" s="428" t="s">
        <v>2131</v>
      </c>
      <c r="O156" s="416"/>
      <c r="P156" s="368" t="s">
        <v>1871</v>
      </c>
      <c r="Q156" s="368"/>
    </row>
    <row r="157" ht="56.25" customHeight="1">
      <c r="A157" s="372" t="s">
        <v>2129</v>
      </c>
      <c r="B157" s="389" t="s">
        <v>2164</v>
      </c>
      <c r="C157" s="446"/>
      <c r="D157" s="375" t="s">
        <v>2165</v>
      </c>
      <c r="E157" s="441">
        <v>22.94</v>
      </c>
      <c r="F157" s="441" t="s">
        <v>551</v>
      </c>
      <c r="G157" s="375" t="s">
        <v>551</v>
      </c>
      <c r="H157" s="372">
        <v>22.32</v>
      </c>
      <c r="I157" s="372">
        <v>27.9</v>
      </c>
      <c r="J157" s="372">
        <v>36.27</v>
      </c>
      <c r="K157" s="441">
        <v>50.0</v>
      </c>
      <c r="L157" s="426"/>
      <c r="M157" s="425" t="s">
        <v>2166</v>
      </c>
      <c r="N157" s="425" t="s">
        <v>2131</v>
      </c>
      <c r="O157" s="417"/>
      <c r="P157" s="375" t="s">
        <v>1871</v>
      </c>
      <c r="Q157" s="375"/>
    </row>
    <row r="158" ht="56.25" customHeight="1">
      <c r="A158" s="404" t="s">
        <v>2129</v>
      </c>
      <c r="B158" s="405" t="str">
        <f>HYPERLINK("https://azurlane.koumakan.jp/533mm_Quintuple_Torpedo_Mount#Type_2","533mm Quintuple Torpedo Mount")</f>
        <v>533mm Quintuple Torpedo Mount</v>
      </c>
      <c r="C158" s="403"/>
      <c r="D158" s="400" t="s">
        <v>2167</v>
      </c>
      <c r="E158" s="444">
        <v>27.83</v>
      </c>
      <c r="F158" s="444" t="s">
        <v>551</v>
      </c>
      <c r="G158" s="368" t="s">
        <v>551</v>
      </c>
      <c r="H158" s="365">
        <v>20.12</v>
      </c>
      <c r="I158" s="365">
        <v>25.15</v>
      </c>
      <c r="J158" s="365">
        <v>32.7</v>
      </c>
      <c r="K158" s="449">
        <v>50.0</v>
      </c>
      <c r="L158" s="384"/>
      <c r="M158" s="434" t="s">
        <v>2131</v>
      </c>
      <c r="N158" s="434" t="s">
        <v>2131</v>
      </c>
      <c r="O158" s="416"/>
      <c r="P158" s="431">
        <v>43620.0</v>
      </c>
      <c r="Q158" s="368" t="s">
        <v>2168</v>
      </c>
    </row>
    <row r="159" ht="56.25" customHeight="1">
      <c r="A159" s="372" t="s">
        <v>2129</v>
      </c>
      <c r="B159" s="373" t="str">
        <f>HYPERLINK("https://azurlane.koumakan.jp/533mm_Quadruple_Homing_Torpedo_Mount#Type_3","533mm Quadruple Homing Torpedo Mount")</f>
        <v>533mm Quadruple Homing Torpedo Mount</v>
      </c>
      <c r="C159" s="451"/>
      <c r="D159" s="375" t="s">
        <v>2169</v>
      </c>
      <c r="E159" s="440">
        <v>25.47</v>
      </c>
      <c r="F159" s="441" t="s">
        <v>551</v>
      </c>
      <c r="G159" s="375" t="s">
        <v>551</v>
      </c>
      <c r="H159" s="442">
        <v>18.22</v>
      </c>
      <c r="I159" s="442">
        <v>22.77</v>
      </c>
      <c r="J159" s="442">
        <v>29.6</v>
      </c>
      <c r="K159" s="441">
        <v>52.0</v>
      </c>
      <c r="L159" s="426"/>
      <c r="M159" s="425" t="s">
        <v>2052</v>
      </c>
      <c r="N159" s="425" t="s">
        <v>2131</v>
      </c>
      <c r="O159" s="375" t="s">
        <v>2143</v>
      </c>
      <c r="P159" s="375" t="s">
        <v>2146</v>
      </c>
      <c r="Q159" s="375" t="s">
        <v>2170</v>
      </c>
    </row>
    <row r="160" ht="56.25" customHeight="1">
      <c r="A160" s="404" t="s">
        <v>2129</v>
      </c>
      <c r="B160" s="405" t="str">
        <f>HYPERLINK("https://azurlane.koumakan.jp/533mm_Quintuple_Homing_Torpedo_Mount#Type_2","533mm Quintuple Homing Torpedo Mount")</f>
        <v>533mm Quintuple Homing Torpedo Mount</v>
      </c>
      <c r="C160" s="452"/>
      <c r="D160" s="400" t="s">
        <v>2171</v>
      </c>
      <c r="E160" s="444">
        <v>30.93</v>
      </c>
      <c r="F160" s="444" t="s">
        <v>551</v>
      </c>
      <c r="G160" s="368" t="s">
        <v>551</v>
      </c>
      <c r="H160" s="365">
        <v>17.2</v>
      </c>
      <c r="I160" s="365">
        <v>21.5</v>
      </c>
      <c r="J160" s="365">
        <v>27.95</v>
      </c>
      <c r="K160" s="449">
        <v>52.0</v>
      </c>
      <c r="L160" s="384"/>
      <c r="M160" s="434" t="s">
        <v>2131</v>
      </c>
      <c r="N160" s="434" t="s">
        <v>2131</v>
      </c>
      <c r="O160" s="450" t="s">
        <v>2143</v>
      </c>
      <c r="P160" s="368" t="s">
        <v>2146</v>
      </c>
      <c r="Q160" s="368" t="s">
        <v>2172</v>
      </c>
    </row>
    <row r="161" ht="56.25" customHeight="1">
      <c r="A161" s="372" t="s">
        <v>2129</v>
      </c>
      <c r="B161" s="373" t="str">
        <f>HYPERLINK("https://azurlane.koumakan.jp/610mm_Quadruple_Torpedo_Mount#Type_3","610mm Quadruple Torpedo Mount")</f>
        <v>610mm Quadruple Torpedo Mount</v>
      </c>
      <c r="C161" s="451"/>
      <c r="D161" s="375" t="s">
        <v>2173</v>
      </c>
      <c r="E161" s="440">
        <v>28.54</v>
      </c>
      <c r="F161" s="441" t="s">
        <v>551</v>
      </c>
      <c r="G161" s="375" t="s">
        <v>551</v>
      </c>
      <c r="H161" s="442">
        <v>23.1</v>
      </c>
      <c r="I161" s="442">
        <v>28.87</v>
      </c>
      <c r="J161" s="442">
        <v>37.53</v>
      </c>
      <c r="K161" s="375">
        <v>60.0</v>
      </c>
      <c r="L161" s="426"/>
      <c r="M161" s="425" t="s">
        <v>2052</v>
      </c>
      <c r="N161" s="425" t="s">
        <v>2131</v>
      </c>
      <c r="O161" s="375" t="s">
        <v>2134</v>
      </c>
      <c r="P161" s="375" t="s">
        <v>2174</v>
      </c>
      <c r="Q161" s="375" t="s">
        <v>2175</v>
      </c>
    </row>
    <row r="162" ht="56.25" customHeight="1">
      <c r="A162" s="365" t="s">
        <v>2129</v>
      </c>
      <c r="B162" s="387" t="s">
        <v>2176</v>
      </c>
      <c r="C162" s="451"/>
      <c r="D162" s="368" t="s">
        <v>2177</v>
      </c>
      <c r="E162" s="444">
        <v>28.33</v>
      </c>
      <c r="F162" s="444" t="s">
        <v>551</v>
      </c>
      <c r="G162" s="368" t="s">
        <v>551</v>
      </c>
      <c r="H162" s="365">
        <v>23.72</v>
      </c>
      <c r="I162" s="365">
        <v>29.65</v>
      </c>
      <c r="J162" s="365">
        <v>38.55</v>
      </c>
      <c r="K162" s="368">
        <v>60.0</v>
      </c>
      <c r="L162" s="384"/>
      <c r="M162" s="428" t="s">
        <v>2166</v>
      </c>
      <c r="N162" s="428" t="s">
        <v>2131</v>
      </c>
      <c r="O162" s="368"/>
      <c r="P162" s="368" t="s">
        <v>1871</v>
      </c>
      <c r="Q162" s="368"/>
    </row>
    <row r="163" ht="56.25" customHeight="1">
      <c r="A163" s="372" t="s">
        <v>2129</v>
      </c>
      <c r="B163" s="373" t="str">
        <f>HYPERLINK("https://azurlane.koumakan.jp/533mm_Quintuple_Torpedo_Mount#Type_3","533mm Quintuple Torpedo Mount")</f>
        <v>533mm Quintuple Torpedo Mount</v>
      </c>
      <c r="C163" s="451"/>
      <c r="D163" s="375" t="s">
        <v>2178</v>
      </c>
      <c r="E163" s="440">
        <v>26.44</v>
      </c>
      <c r="F163" s="441" t="s">
        <v>551</v>
      </c>
      <c r="G163" s="375" t="s">
        <v>551</v>
      </c>
      <c r="H163" s="442">
        <v>23.6</v>
      </c>
      <c r="I163" s="442">
        <v>29.5</v>
      </c>
      <c r="J163" s="442">
        <v>38.35</v>
      </c>
      <c r="K163" s="441">
        <v>50.0</v>
      </c>
      <c r="L163" s="426"/>
      <c r="M163" s="425" t="s">
        <v>2131</v>
      </c>
      <c r="N163" s="425" t="s">
        <v>2131</v>
      </c>
      <c r="O163" s="417"/>
      <c r="P163" s="430">
        <v>43650.0</v>
      </c>
      <c r="Q163" s="375" t="s">
        <v>2179</v>
      </c>
    </row>
    <row r="164" ht="56.25" customHeight="1">
      <c r="A164" s="365" t="s">
        <v>2129</v>
      </c>
      <c r="B164" s="387" t="s">
        <v>2180</v>
      </c>
      <c r="C164" s="451"/>
      <c r="D164" s="368" t="s">
        <v>2181</v>
      </c>
      <c r="E164" s="444">
        <v>26.41</v>
      </c>
      <c r="F164" s="444" t="s">
        <v>551</v>
      </c>
      <c r="G164" s="368" t="s">
        <v>551</v>
      </c>
      <c r="H164" s="365">
        <v>24.23</v>
      </c>
      <c r="I164" s="365">
        <v>30.29</v>
      </c>
      <c r="J164" s="365">
        <v>39.38</v>
      </c>
      <c r="K164" s="444">
        <v>50.0</v>
      </c>
      <c r="L164" s="384"/>
      <c r="M164" s="428" t="s">
        <v>2131</v>
      </c>
      <c r="N164" s="428" t="s">
        <v>2131</v>
      </c>
      <c r="O164" s="416"/>
      <c r="P164" s="368" t="s">
        <v>1871</v>
      </c>
      <c r="Q164" s="368"/>
    </row>
    <row r="165" ht="56.25" customHeight="1">
      <c r="A165" s="372" t="s">
        <v>2129</v>
      </c>
      <c r="B165" s="389" t="s">
        <v>2182</v>
      </c>
      <c r="C165" s="451"/>
      <c r="D165" s="375" t="s">
        <v>2183</v>
      </c>
      <c r="E165" s="441">
        <v>28.0</v>
      </c>
      <c r="F165" s="441" t="s">
        <v>551</v>
      </c>
      <c r="G165" s="375" t="s">
        <v>551</v>
      </c>
      <c r="H165" s="372">
        <v>24.57</v>
      </c>
      <c r="I165" s="372">
        <v>30.71</v>
      </c>
      <c r="J165" s="372">
        <v>39.93</v>
      </c>
      <c r="K165" s="441">
        <v>50.0</v>
      </c>
      <c r="L165" s="426"/>
      <c r="M165" s="425" t="s">
        <v>1860</v>
      </c>
      <c r="N165" s="425" t="s">
        <v>1860</v>
      </c>
      <c r="O165" s="375" t="s">
        <v>1956</v>
      </c>
      <c r="P165" s="375" t="s">
        <v>1871</v>
      </c>
      <c r="Q165" s="375"/>
    </row>
    <row r="166" ht="56.25" customHeight="1">
      <c r="A166" s="365" t="s">
        <v>2129</v>
      </c>
      <c r="B166" s="366" t="str">
        <f>HYPERLINK("https://azurlane.koumakan.jp/533mm_Quintuple_Homing_Torpedo_Mount#Type_3","533mm Quintuple Homing Torpedo Mount")</f>
        <v>533mm Quintuple Homing Torpedo Mount</v>
      </c>
      <c r="C166" s="453"/>
      <c r="D166" s="368" t="s">
        <v>2184</v>
      </c>
      <c r="E166" s="443">
        <v>29.4</v>
      </c>
      <c r="F166" s="444" t="s">
        <v>551</v>
      </c>
      <c r="G166" s="368" t="s">
        <v>551</v>
      </c>
      <c r="H166" s="445">
        <v>19.73</v>
      </c>
      <c r="I166" s="445">
        <v>24.66</v>
      </c>
      <c r="J166" s="445">
        <v>32.06</v>
      </c>
      <c r="K166" s="444">
        <v>52.0</v>
      </c>
      <c r="L166" s="384"/>
      <c r="M166" s="428" t="s">
        <v>2131</v>
      </c>
      <c r="N166" s="428" t="s">
        <v>2131</v>
      </c>
      <c r="O166" s="368" t="s">
        <v>2143</v>
      </c>
      <c r="P166" s="368" t="s">
        <v>2185</v>
      </c>
      <c r="Q166" s="368" t="s">
        <v>2186</v>
      </c>
    </row>
    <row r="167" ht="56.25" customHeight="1">
      <c r="A167" s="372" t="s">
        <v>2129</v>
      </c>
      <c r="B167" s="389" t="s">
        <v>2187</v>
      </c>
      <c r="C167" s="453"/>
      <c r="D167" s="375" t="s">
        <v>2188</v>
      </c>
      <c r="E167" s="441">
        <v>28.6</v>
      </c>
      <c r="F167" s="441" t="s">
        <v>551</v>
      </c>
      <c r="G167" s="375" t="s">
        <v>551</v>
      </c>
      <c r="H167" s="372">
        <v>26.57</v>
      </c>
      <c r="I167" s="372">
        <v>33.22</v>
      </c>
      <c r="J167" s="372">
        <v>43.18</v>
      </c>
      <c r="K167" s="441"/>
      <c r="L167" s="426"/>
      <c r="M167" s="425" t="s">
        <v>2131</v>
      </c>
      <c r="N167" s="425" t="s">
        <v>2189</v>
      </c>
      <c r="O167" s="375"/>
      <c r="P167" s="375" t="s">
        <v>2190</v>
      </c>
      <c r="Q167" s="375"/>
    </row>
    <row r="168">
      <c r="A168" s="409"/>
      <c r="B168" s="410"/>
      <c r="C168" s="436"/>
      <c r="D168" s="410"/>
      <c r="E168" s="437"/>
      <c r="F168" s="437"/>
      <c r="G168" s="415"/>
      <c r="H168" s="438"/>
      <c r="I168" s="438"/>
      <c r="J168" s="438"/>
      <c r="K168" s="410"/>
      <c r="L168" s="410"/>
      <c r="M168" s="423"/>
      <c r="N168" s="423"/>
      <c r="O168" s="415"/>
      <c r="P168" s="410"/>
      <c r="Q168" s="415"/>
    </row>
    <row r="169" ht="56.25" customHeight="1">
      <c r="A169" s="372" t="s">
        <v>242</v>
      </c>
      <c r="B169" s="454" t="str">
        <f>HYPERLINK("https://azurlane.koumakan.jp/Submarine-mounted_Mark_14_Torpedo#Type_3","Mark 14 Torpedo")</f>
        <v>Mark 14 Torpedo</v>
      </c>
      <c r="C169" s="446"/>
      <c r="D169" s="375" t="s">
        <v>2191</v>
      </c>
      <c r="E169" s="375">
        <v>25.94</v>
      </c>
      <c r="F169" s="375" t="s">
        <v>551</v>
      </c>
      <c r="G169" s="375" t="s">
        <v>551</v>
      </c>
      <c r="H169" s="419">
        <v>12.12</v>
      </c>
      <c r="I169" s="419">
        <v>15.15</v>
      </c>
      <c r="J169" s="419">
        <v>19.7</v>
      </c>
      <c r="K169" s="375">
        <v>90.0</v>
      </c>
      <c r="L169" s="426"/>
      <c r="M169" s="425" t="s">
        <v>1850</v>
      </c>
      <c r="N169" s="425" t="s">
        <v>2192</v>
      </c>
      <c r="O169" s="417"/>
      <c r="P169" s="417"/>
      <c r="Q169" s="375"/>
    </row>
    <row r="170" ht="56.25" customHeight="1">
      <c r="A170" s="365" t="s">
        <v>242</v>
      </c>
      <c r="B170" s="366" t="str">
        <f>HYPERLINK("https://azurlane.koumakan.jp/Submarine-mounted_550mm_24V_Torpedo#Type_3","550mm 24V Torpedo")</f>
        <v>550mm 24V Torpedo</v>
      </c>
      <c r="C170" s="446"/>
      <c r="D170" s="368" t="s">
        <v>2193</v>
      </c>
      <c r="E170" s="368">
        <v>15.3</v>
      </c>
      <c r="F170" s="368" t="s">
        <v>551</v>
      </c>
      <c r="G170" s="368" t="s">
        <v>551</v>
      </c>
      <c r="H170" s="392">
        <v>14.12</v>
      </c>
      <c r="I170" s="392">
        <v>17.65</v>
      </c>
      <c r="J170" s="392">
        <v>22.94</v>
      </c>
      <c r="K170" s="368">
        <v>90.0</v>
      </c>
      <c r="L170" s="384"/>
      <c r="M170" s="428" t="s">
        <v>1850</v>
      </c>
      <c r="N170" s="428" t="s">
        <v>2192</v>
      </c>
      <c r="O170" s="416"/>
      <c r="P170" s="416"/>
      <c r="Q170" s="368"/>
    </row>
    <row r="171" ht="56.25" customHeight="1">
      <c r="A171" s="372" t="s">
        <v>242</v>
      </c>
      <c r="B171" s="455" t="s">
        <v>2194</v>
      </c>
      <c r="C171" s="446"/>
      <c r="D171" s="375" t="s">
        <v>2195</v>
      </c>
      <c r="E171" s="375">
        <v>13.57</v>
      </c>
      <c r="F171" s="375" t="s">
        <v>551</v>
      </c>
      <c r="G171" s="375" t="s">
        <v>551</v>
      </c>
      <c r="H171" s="419">
        <v>14.15</v>
      </c>
      <c r="I171" s="419">
        <v>17.69</v>
      </c>
      <c r="J171" s="419">
        <v>22.99</v>
      </c>
      <c r="K171" s="375">
        <v>90.0</v>
      </c>
      <c r="L171" s="426"/>
      <c r="M171" s="425" t="s">
        <v>1850</v>
      </c>
      <c r="N171" s="425" t="s">
        <v>2192</v>
      </c>
      <c r="O171" s="375" t="s">
        <v>2143</v>
      </c>
      <c r="P171" s="375" t="s">
        <v>1871</v>
      </c>
      <c r="Q171" s="375"/>
    </row>
    <row r="172" ht="56.25" customHeight="1">
      <c r="A172" s="365" t="s">
        <v>242</v>
      </c>
      <c r="B172" s="387" t="s">
        <v>2196</v>
      </c>
      <c r="C172" s="446"/>
      <c r="D172" s="368" t="s">
        <v>2133</v>
      </c>
      <c r="E172" s="368">
        <v>16.89</v>
      </c>
      <c r="F172" s="368" t="s">
        <v>551</v>
      </c>
      <c r="G172" s="368" t="s">
        <v>551</v>
      </c>
      <c r="H172" s="392">
        <v>14.21</v>
      </c>
      <c r="I172" s="392">
        <v>17.76</v>
      </c>
      <c r="J172" s="392">
        <v>23.09</v>
      </c>
      <c r="K172" s="368">
        <v>90.0</v>
      </c>
      <c r="L172" s="384"/>
      <c r="M172" s="428" t="s">
        <v>1850</v>
      </c>
      <c r="N172" s="428" t="s">
        <v>2192</v>
      </c>
      <c r="O172" s="368" t="s">
        <v>2143</v>
      </c>
      <c r="P172" s="368" t="s">
        <v>1871</v>
      </c>
      <c r="Q172" s="368"/>
    </row>
    <row r="173" ht="56.25" customHeight="1">
      <c r="A173" s="372" t="s">
        <v>242</v>
      </c>
      <c r="B173" s="402" t="s">
        <v>2197</v>
      </c>
      <c r="C173" s="403"/>
      <c r="D173" s="398" t="s">
        <v>2198</v>
      </c>
      <c r="E173" s="398">
        <v>26.6</v>
      </c>
      <c r="F173" s="375" t="s">
        <v>551</v>
      </c>
      <c r="G173" s="375" t="s">
        <v>551</v>
      </c>
      <c r="H173" s="456">
        <v>14.35</v>
      </c>
      <c r="I173" s="456">
        <v>17.93</v>
      </c>
      <c r="J173" s="456">
        <v>23.31</v>
      </c>
      <c r="K173" s="375">
        <v>90.0</v>
      </c>
      <c r="L173" s="426"/>
      <c r="M173" s="432" t="s">
        <v>1850</v>
      </c>
      <c r="N173" s="432" t="s">
        <v>2192</v>
      </c>
      <c r="O173" s="457"/>
      <c r="P173" s="375" t="s">
        <v>1871</v>
      </c>
      <c r="Q173" s="448"/>
    </row>
    <row r="174" ht="56.25" customHeight="1">
      <c r="A174" s="404" t="s">
        <v>242</v>
      </c>
      <c r="B174" s="405" t="str">
        <f>HYPERLINK("https://azurlane.koumakan.jp/Submarine-mounted_Mark_16_Torpedo#Type_2","Mark 16 Torpedo")</f>
        <v>Mark 16 Torpedo</v>
      </c>
      <c r="C174" s="403"/>
      <c r="D174" s="400" t="s">
        <v>2199</v>
      </c>
      <c r="E174" s="400">
        <v>26.27</v>
      </c>
      <c r="F174" s="368" t="s">
        <v>551</v>
      </c>
      <c r="G174" s="368" t="s">
        <v>551</v>
      </c>
      <c r="H174" s="458">
        <v>14.89</v>
      </c>
      <c r="I174" s="458">
        <v>18.61</v>
      </c>
      <c r="J174" s="458">
        <v>24.2</v>
      </c>
      <c r="K174" s="368">
        <v>90.0</v>
      </c>
      <c r="L174" s="384"/>
      <c r="M174" s="434" t="s">
        <v>1850</v>
      </c>
      <c r="N174" s="434" t="s">
        <v>2192</v>
      </c>
      <c r="O174" s="459"/>
      <c r="P174" s="459"/>
      <c r="Q174" s="450"/>
    </row>
    <row r="175" ht="56.25" customHeight="1">
      <c r="A175" s="372" t="s">
        <v>242</v>
      </c>
      <c r="B175" s="373" t="str">
        <f>HYPERLINK("https://azurlane.koumakan.jp/Submarine-mounted_Type_92_Battery-powered_Torpedo#Type_3","Type 92 Torpedo")</f>
        <v>Type 92 Torpedo</v>
      </c>
      <c r="C175" s="446"/>
      <c r="D175" s="375" t="s">
        <v>2133</v>
      </c>
      <c r="E175" s="375">
        <v>15.96</v>
      </c>
      <c r="F175" s="375" t="s">
        <v>551</v>
      </c>
      <c r="G175" s="375" t="s">
        <v>551</v>
      </c>
      <c r="H175" s="419">
        <v>15.04</v>
      </c>
      <c r="I175" s="419">
        <v>18.8</v>
      </c>
      <c r="J175" s="419">
        <v>24.44</v>
      </c>
      <c r="K175" s="375">
        <v>90.0</v>
      </c>
      <c r="L175" s="426"/>
      <c r="M175" s="425" t="s">
        <v>1850</v>
      </c>
      <c r="N175" s="425" t="s">
        <v>2200</v>
      </c>
      <c r="O175" s="417"/>
      <c r="P175" s="417"/>
      <c r="Q175" s="375"/>
    </row>
    <row r="176" ht="56.25" customHeight="1">
      <c r="A176" s="404" t="s">
        <v>242</v>
      </c>
      <c r="B176" s="405" t="str">
        <f>HYPERLINK("https://azurlane.koumakan.jp/Submarine-mounted_Type_95_Oxygen_Torpedo#Type_2","Type 95 Torpedo")</f>
        <v>Type 95 Torpedo</v>
      </c>
      <c r="C176" s="403"/>
      <c r="D176" s="400" t="s">
        <v>2201</v>
      </c>
      <c r="E176" s="400">
        <v>15.96</v>
      </c>
      <c r="F176" s="368" t="s">
        <v>551</v>
      </c>
      <c r="G176" s="368" t="s">
        <v>551</v>
      </c>
      <c r="H176" s="458">
        <v>15.74</v>
      </c>
      <c r="I176" s="458">
        <v>19.67</v>
      </c>
      <c r="J176" s="458">
        <v>25.58</v>
      </c>
      <c r="K176" s="368">
        <v>100.0</v>
      </c>
      <c r="L176" s="384"/>
      <c r="M176" s="434" t="s">
        <v>1850</v>
      </c>
      <c r="N176" s="434" t="s">
        <v>2200</v>
      </c>
      <c r="O176" s="459"/>
      <c r="P176" s="459"/>
      <c r="Q176" s="450"/>
    </row>
    <row r="177" ht="56.25" customHeight="1">
      <c r="A177" s="372" t="s">
        <v>242</v>
      </c>
      <c r="B177" s="373" t="str">
        <f>HYPERLINK("https://azurlane.koumakan.jp/Submarine-mounted_G7a_Torpedo#Type_3","G7a Torpedo")</f>
        <v>G7a Torpedo</v>
      </c>
      <c r="C177" s="446"/>
      <c r="D177" s="375" t="s">
        <v>2202</v>
      </c>
      <c r="E177" s="375">
        <v>14.63</v>
      </c>
      <c r="F177" s="375" t="s">
        <v>551</v>
      </c>
      <c r="G177" s="375" t="s">
        <v>551</v>
      </c>
      <c r="H177" s="419">
        <v>15.75</v>
      </c>
      <c r="I177" s="419">
        <v>19.69</v>
      </c>
      <c r="J177" s="419">
        <v>25.59</v>
      </c>
      <c r="K177" s="375">
        <v>90.0</v>
      </c>
      <c r="L177" s="426"/>
      <c r="M177" s="425" t="s">
        <v>1850</v>
      </c>
      <c r="N177" s="425" t="s">
        <v>2192</v>
      </c>
      <c r="O177" s="417"/>
      <c r="P177" s="417"/>
      <c r="Q177" s="375"/>
    </row>
    <row r="178" ht="56.25" customHeight="1">
      <c r="A178" s="404" t="s">
        <v>242</v>
      </c>
      <c r="B178" s="405" t="str">
        <f>HYPERLINK("https://azurlane.koumakan.jp/Submarine-mounted_G7e_Acoustic_Homing_Torpedo#Type_2","G7e Acoustic Guided Torpedo")</f>
        <v>G7e Acoustic Guided Torpedo</v>
      </c>
      <c r="C178" s="403"/>
      <c r="D178" s="400" t="s">
        <v>2202</v>
      </c>
      <c r="E178" s="400">
        <v>14.63</v>
      </c>
      <c r="F178" s="368" t="s">
        <v>551</v>
      </c>
      <c r="G178" s="368" t="s">
        <v>551</v>
      </c>
      <c r="H178" s="458">
        <v>15.75</v>
      </c>
      <c r="I178" s="458">
        <v>19.69</v>
      </c>
      <c r="J178" s="458">
        <v>25.59</v>
      </c>
      <c r="K178" s="368">
        <v>90.0</v>
      </c>
      <c r="L178" s="384"/>
      <c r="M178" s="434" t="s">
        <v>1850</v>
      </c>
      <c r="N178" s="434" t="s">
        <v>2192</v>
      </c>
      <c r="O178" s="450" t="s">
        <v>2143</v>
      </c>
      <c r="P178" s="459"/>
      <c r="Q178" s="450"/>
    </row>
    <row r="179" ht="56.25" customHeight="1">
      <c r="A179" s="372" t="s">
        <v>242</v>
      </c>
      <c r="B179" s="373" t="str">
        <f>HYPERLINK("https://azurlane.koumakan.jp/Submarine-mounted_Mark_16_Torpedo#Type_3","Mark 16 Torpedo")</f>
        <v>Mark 16 Torpedo</v>
      </c>
      <c r="C179" s="451"/>
      <c r="D179" s="375" t="s">
        <v>2203</v>
      </c>
      <c r="E179" s="375">
        <v>24.61</v>
      </c>
      <c r="F179" s="375" t="s">
        <v>551</v>
      </c>
      <c r="G179" s="375" t="s">
        <v>551</v>
      </c>
      <c r="H179" s="419">
        <v>17.65</v>
      </c>
      <c r="I179" s="419">
        <v>22.06</v>
      </c>
      <c r="J179" s="419">
        <v>28.68</v>
      </c>
      <c r="K179" s="375">
        <v>90.0</v>
      </c>
      <c r="L179" s="426"/>
      <c r="M179" s="425" t="s">
        <v>1850</v>
      </c>
      <c r="N179" s="425" t="s">
        <v>2192</v>
      </c>
      <c r="O179" s="417"/>
      <c r="P179" s="417"/>
      <c r="Q179" s="375"/>
    </row>
    <row r="180" ht="56.25" customHeight="1">
      <c r="A180" s="365" t="s">
        <v>242</v>
      </c>
      <c r="B180" s="387" t="s">
        <v>2204</v>
      </c>
      <c r="C180" s="451"/>
      <c r="D180" s="368" t="s">
        <v>2205</v>
      </c>
      <c r="E180" s="368">
        <v>18.53</v>
      </c>
      <c r="F180" s="368" t="s">
        <v>551</v>
      </c>
      <c r="G180" s="368" t="s">
        <v>551</v>
      </c>
      <c r="H180" s="392">
        <v>18.0</v>
      </c>
      <c r="I180" s="392">
        <v>22.5</v>
      </c>
      <c r="J180" s="392">
        <v>29.26</v>
      </c>
      <c r="K180" s="368">
        <v>90.0</v>
      </c>
      <c r="L180" s="384"/>
      <c r="M180" s="434" t="s">
        <v>1850</v>
      </c>
      <c r="N180" s="434" t="s">
        <v>2192</v>
      </c>
      <c r="O180" s="416"/>
      <c r="P180" s="368" t="s">
        <v>1871</v>
      </c>
      <c r="Q180" s="368"/>
    </row>
    <row r="181" ht="56.25" customHeight="1">
      <c r="A181" s="372" t="s">
        <v>242</v>
      </c>
      <c r="B181" s="389" t="s">
        <v>2206</v>
      </c>
      <c r="C181" s="451"/>
      <c r="D181" s="375" t="s">
        <v>2207</v>
      </c>
      <c r="E181" s="375">
        <v>21.81</v>
      </c>
      <c r="F181" s="375" t="s">
        <v>551</v>
      </c>
      <c r="G181" s="375" t="s">
        <v>551</v>
      </c>
      <c r="H181" s="419">
        <v>16.46</v>
      </c>
      <c r="I181" s="419">
        <v>23.52</v>
      </c>
      <c r="J181" s="419">
        <v>28.23</v>
      </c>
      <c r="K181" s="375">
        <v>90.0</v>
      </c>
      <c r="L181" s="426"/>
      <c r="M181" s="432" t="s">
        <v>1850</v>
      </c>
      <c r="N181" s="432" t="s">
        <v>2192</v>
      </c>
      <c r="O181" s="375" t="s">
        <v>2143</v>
      </c>
      <c r="P181" s="375" t="s">
        <v>1871</v>
      </c>
      <c r="Q181" s="375" t="s">
        <v>2208</v>
      </c>
    </row>
    <row r="182" ht="56.25" customHeight="1">
      <c r="A182" s="365" t="s">
        <v>242</v>
      </c>
      <c r="B182" s="366" t="str">
        <f>HYPERLINK("https://azurlane.koumakan.jp/Submarine-mounted_Type_95_Oxygen_Torpedo#Type_3","Type 95 Torpedo")</f>
        <v>Type 95 Torpedo</v>
      </c>
      <c r="C182" s="451"/>
      <c r="D182" s="368" t="s">
        <v>2209</v>
      </c>
      <c r="E182" s="368">
        <v>14.63</v>
      </c>
      <c r="F182" s="368" t="s">
        <v>551</v>
      </c>
      <c r="G182" s="368" t="s">
        <v>551</v>
      </c>
      <c r="H182" s="392">
        <v>19.03</v>
      </c>
      <c r="I182" s="392">
        <v>23.79</v>
      </c>
      <c r="J182" s="392">
        <v>30.92</v>
      </c>
      <c r="K182" s="368">
        <v>100.0</v>
      </c>
      <c r="L182" s="384"/>
      <c r="M182" s="428" t="s">
        <v>1850</v>
      </c>
      <c r="N182" s="428" t="s">
        <v>2200</v>
      </c>
      <c r="O182" s="416"/>
      <c r="P182" s="416"/>
      <c r="Q182" s="368"/>
    </row>
    <row r="183" ht="56.25" customHeight="1">
      <c r="A183" s="372" t="s">
        <v>242</v>
      </c>
      <c r="B183" s="389" t="s">
        <v>2210</v>
      </c>
      <c r="C183" s="451"/>
      <c r="D183" s="375" t="s">
        <v>2211</v>
      </c>
      <c r="E183" s="375">
        <v>12.52</v>
      </c>
      <c r="F183" s="375" t="s">
        <v>551</v>
      </c>
      <c r="G183" s="375" t="s">
        <v>551</v>
      </c>
      <c r="H183" s="419">
        <v>19.04</v>
      </c>
      <c r="I183" s="419">
        <v>23.8</v>
      </c>
      <c r="J183" s="419">
        <v>30.94</v>
      </c>
      <c r="K183" s="375">
        <v>90.0</v>
      </c>
      <c r="L183" s="426"/>
      <c r="M183" s="432" t="s">
        <v>1850</v>
      </c>
      <c r="N183" s="432" t="s">
        <v>2192</v>
      </c>
      <c r="O183" s="375" t="s">
        <v>2143</v>
      </c>
      <c r="P183" s="375" t="s">
        <v>1871</v>
      </c>
      <c r="Q183" s="375"/>
    </row>
    <row r="184" ht="56.25" customHeight="1">
      <c r="A184" s="365" t="s">
        <v>242</v>
      </c>
      <c r="B184" s="366" t="str">
        <f>HYPERLINK("https://azurlane.koumakan.jp/Submarine-mounted_G7e_Acoustic_Homing_Torpedo#Type_3","G7e Acoustic Guided Torpedo")</f>
        <v>G7e Acoustic Guided Torpedo</v>
      </c>
      <c r="C184" s="451"/>
      <c r="D184" s="368" t="s">
        <v>2212</v>
      </c>
      <c r="E184" s="368">
        <v>13.3</v>
      </c>
      <c r="F184" s="368" t="s">
        <v>551</v>
      </c>
      <c r="G184" s="368" t="s">
        <v>551</v>
      </c>
      <c r="H184" s="392">
        <v>19.25</v>
      </c>
      <c r="I184" s="392">
        <v>24.06</v>
      </c>
      <c r="J184" s="392">
        <v>31.28</v>
      </c>
      <c r="K184" s="368">
        <v>90.0</v>
      </c>
      <c r="L184" s="384"/>
      <c r="M184" s="428" t="s">
        <v>1850</v>
      </c>
      <c r="N184" s="428" t="s">
        <v>2192</v>
      </c>
      <c r="O184" s="368" t="s">
        <v>2143</v>
      </c>
      <c r="P184" s="416"/>
      <c r="Q184" s="368"/>
    </row>
    <row r="185" ht="56.25" customHeight="1">
      <c r="A185" s="372" t="s">
        <v>242</v>
      </c>
      <c r="B185" s="389" t="s">
        <v>2213</v>
      </c>
      <c r="C185" s="451"/>
      <c r="D185" s="375" t="s">
        <v>2214</v>
      </c>
      <c r="E185" s="375">
        <v>14.91</v>
      </c>
      <c r="F185" s="375" t="s">
        <v>551</v>
      </c>
      <c r="G185" s="375" t="s">
        <v>551</v>
      </c>
      <c r="H185" s="419">
        <v>19.32</v>
      </c>
      <c r="I185" s="419">
        <v>24.14</v>
      </c>
      <c r="J185" s="419">
        <v>31.39</v>
      </c>
      <c r="K185" s="375">
        <v>100.0</v>
      </c>
      <c r="L185" s="426"/>
      <c r="M185" s="432" t="s">
        <v>1850</v>
      </c>
      <c r="N185" s="432" t="s">
        <v>2200</v>
      </c>
      <c r="O185" s="417"/>
      <c r="P185" s="375" t="s">
        <v>1871</v>
      </c>
      <c r="Q185" s="375"/>
    </row>
    <row r="186" ht="56.25" customHeight="1">
      <c r="A186" s="365"/>
      <c r="B186" s="416"/>
      <c r="C186" s="460"/>
      <c r="D186" s="461"/>
      <c r="E186" s="461"/>
      <c r="F186" s="461"/>
      <c r="G186" s="461"/>
      <c r="H186" s="461"/>
      <c r="I186" s="461"/>
      <c r="J186" s="461"/>
      <c r="K186" s="461"/>
      <c r="L186" s="461"/>
      <c r="M186" s="461"/>
      <c r="N186" s="461"/>
      <c r="O186" s="461"/>
      <c r="P186" s="461"/>
      <c r="Q186" s="416"/>
    </row>
    <row r="187" ht="56.25" customHeight="1">
      <c r="A187" s="372"/>
      <c r="B187" s="417"/>
      <c r="C187" s="462"/>
      <c r="D187" s="463"/>
      <c r="E187" s="463"/>
      <c r="F187" s="463"/>
      <c r="G187" s="463"/>
      <c r="H187" s="463"/>
      <c r="I187" s="463"/>
      <c r="J187" s="463"/>
      <c r="K187" s="463"/>
      <c r="L187" s="463"/>
      <c r="M187" s="463"/>
      <c r="N187" s="463"/>
      <c r="O187" s="463"/>
      <c r="P187" s="463"/>
      <c r="Q187" s="417"/>
    </row>
  </sheetData>
  <mergeCells count="83">
    <mergeCell ref="K151:L151"/>
    <mergeCell ref="K152:L152"/>
    <mergeCell ref="K153:L153"/>
    <mergeCell ref="K154:L154"/>
    <mergeCell ref="K155:L155"/>
    <mergeCell ref="K156:L156"/>
    <mergeCell ref="K157:L157"/>
    <mergeCell ref="K158:L158"/>
    <mergeCell ref="K159:L159"/>
    <mergeCell ref="K160:L160"/>
    <mergeCell ref="K161:L161"/>
    <mergeCell ref="K162:L162"/>
    <mergeCell ref="K163:L163"/>
    <mergeCell ref="K164:L164"/>
    <mergeCell ref="K165:L165"/>
    <mergeCell ref="K166:L166"/>
    <mergeCell ref="K167:L167"/>
    <mergeCell ref="K169:L169"/>
    <mergeCell ref="K170:L170"/>
    <mergeCell ref="K171:L171"/>
    <mergeCell ref="K172:L172"/>
    <mergeCell ref="K180:L180"/>
    <mergeCell ref="K181:L181"/>
    <mergeCell ref="K182:L182"/>
    <mergeCell ref="K183:L183"/>
    <mergeCell ref="K184:L184"/>
    <mergeCell ref="K185:L185"/>
    <mergeCell ref="K173:L173"/>
    <mergeCell ref="K174:L174"/>
    <mergeCell ref="K175:L175"/>
    <mergeCell ref="K176:L176"/>
    <mergeCell ref="K177:L177"/>
    <mergeCell ref="K178:L178"/>
    <mergeCell ref="K179:L179"/>
    <mergeCell ref="K101:L101"/>
    <mergeCell ref="K102:L102"/>
    <mergeCell ref="K103:L103"/>
    <mergeCell ref="K104:L104"/>
    <mergeCell ref="K105:L105"/>
    <mergeCell ref="K106:L106"/>
    <mergeCell ref="K107:L107"/>
    <mergeCell ref="K108:L108"/>
    <mergeCell ref="K109:L109"/>
    <mergeCell ref="K110:L110"/>
    <mergeCell ref="K111:L111"/>
    <mergeCell ref="K112:L112"/>
    <mergeCell ref="K113:L113"/>
    <mergeCell ref="K114:L114"/>
    <mergeCell ref="K115:L115"/>
    <mergeCell ref="K116:L116"/>
    <mergeCell ref="K117:L117"/>
    <mergeCell ref="K118:L118"/>
    <mergeCell ref="K119:L119"/>
    <mergeCell ref="K120:L120"/>
    <mergeCell ref="K121:L121"/>
    <mergeCell ref="K122:L122"/>
    <mergeCell ref="K123:L123"/>
    <mergeCell ref="K124:L124"/>
    <mergeCell ref="K125:L125"/>
    <mergeCell ref="K126:L126"/>
    <mergeCell ref="K127:L127"/>
    <mergeCell ref="K128:L128"/>
    <mergeCell ref="K129:L129"/>
    <mergeCell ref="K130:L130"/>
    <mergeCell ref="K131:L131"/>
    <mergeCell ref="K132:L132"/>
    <mergeCell ref="K133:L133"/>
    <mergeCell ref="K134:L134"/>
    <mergeCell ref="K135:L135"/>
    <mergeCell ref="K136:L136"/>
    <mergeCell ref="K137:L137"/>
    <mergeCell ref="K138:L138"/>
    <mergeCell ref="K139:L139"/>
    <mergeCell ref="K140:L140"/>
    <mergeCell ref="K141:L141"/>
    <mergeCell ref="K143:L143"/>
    <mergeCell ref="K144:L144"/>
    <mergeCell ref="K145:L145"/>
    <mergeCell ref="K146:L146"/>
    <mergeCell ref="K147:L147"/>
    <mergeCell ref="K148:L148"/>
    <mergeCell ref="K149:L149"/>
    <mergeCell ref="K150:L150"/>
  </mergeCells>
  <conditionalFormatting sqref="A1:A187">
    <cfRule type="cellIs" dxfId="7" priority="1" operator="equal">
      <formula>"CA"</formula>
    </cfRule>
  </conditionalFormatting>
  <conditionalFormatting sqref="A1:A187">
    <cfRule type="cellIs" dxfId="7" priority="2" operator="equal">
      <formula>"CL"</formula>
    </cfRule>
  </conditionalFormatting>
  <conditionalFormatting sqref="A1:A187">
    <cfRule type="cellIs" dxfId="5" priority="3" operator="equal">
      <formula>"BB"</formula>
    </cfRule>
  </conditionalFormatting>
  <conditionalFormatting sqref="A1:A187">
    <cfRule type="cellIs" dxfId="5" priority="4" operator="equal">
      <formula>"BC"</formula>
    </cfRule>
  </conditionalFormatting>
  <conditionalFormatting sqref="A1:A187">
    <cfRule type="cellIs" dxfId="10" priority="5" operator="equal">
      <formula>"AR"</formula>
    </cfRule>
  </conditionalFormatting>
  <conditionalFormatting sqref="A1:A187">
    <cfRule type="cellIs" dxfId="5" priority="6" operator="equal">
      <formula>"BM"</formula>
    </cfRule>
  </conditionalFormatting>
  <conditionalFormatting sqref="A1:A187">
    <cfRule type="cellIs" dxfId="0" priority="7" operator="equal">
      <formula>"SS"</formula>
    </cfRule>
  </conditionalFormatting>
  <conditionalFormatting sqref="A1:A187">
    <cfRule type="cellIs" dxfId="13" priority="8" operator="equal">
      <formula>"CV"</formula>
    </cfRule>
  </conditionalFormatting>
  <conditionalFormatting sqref="A1:A187">
    <cfRule type="cellIs" dxfId="13" priority="9" operator="equal">
      <formula>"CVL"</formula>
    </cfRule>
  </conditionalFormatting>
  <conditionalFormatting sqref="A1:A187">
    <cfRule type="cellIs" dxfId="14" priority="10" operator="equal">
      <formula>"BBV"</formula>
    </cfRule>
  </conditionalFormatting>
  <conditionalFormatting sqref="A1:A187">
    <cfRule type="cellIs" dxfId="6" priority="11" operator="equal">
      <formula>"DD"</formula>
    </cfRule>
  </conditionalFormatting>
  <conditionalFormatting sqref="G1:G187">
    <cfRule type="containsText" dxfId="37" priority="12" operator="containsText" text="Normal">
      <formula>NOT(ISERROR(SEARCH(("Normal"),(G1))))</formula>
    </cfRule>
  </conditionalFormatting>
  <conditionalFormatting sqref="G1:G187">
    <cfRule type="containsText" dxfId="38" priority="13" operator="containsText" text="HE">
      <formula>NOT(ISERROR(SEARCH(("HE"),(G1))))</formula>
    </cfRule>
  </conditionalFormatting>
  <conditionalFormatting sqref="G1:G187">
    <cfRule type="containsText" dxfId="39" priority="14" operator="containsText" text="AP">
      <formula>NOT(ISERROR(SEARCH(("AP"),(G1))))</formula>
    </cfRule>
  </conditionalFormatting>
  <conditionalFormatting sqref="H1:H40">
    <cfRule type="colorScale" priority="15">
      <colorScale>
        <cfvo type="min"/>
        <cfvo type="percentile" val="50"/>
        <cfvo type="max"/>
        <color rgb="FFE67C73"/>
        <color rgb="FFFFD666"/>
        <color rgb="FF57BB8A"/>
      </colorScale>
    </cfRule>
  </conditionalFormatting>
  <conditionalFormatting sqref="I1:I40">
    <cfRule type="colorScale" priority="16">
      <colorScale>
        <cfvo type="min"/>
        <cfvo type="percentile" val="50"/>
        <cfvo type="max"/>
        <color rgb="FFE67C73"/>
        <color rgb="FFFFD666"/>
        <color rgb="FF57BB8A"/>
      </colorScale>
    </cfRule>
  </conditionalFormatting>
  <conditionalFormatting sqref="J1:J40">
    <cfRule type="colorScale" priority="17">
      <colorScale>
        <cfvo type="min"/>
        <cfvo type="percentile" val="50"/>
        <cfvo type="max"/>
        <color rgb="FFE67C73"/>
        <color rgb="FFFFD666"/>
        <color rgb="FF57BB8A"/>
      </colorScale>
    </cfRule>
  </conditionalFormatting>
  <conditionalFormatting sqref="G1:G187">
    <cfRule type="cellIs" dxfId="7" priority="18" operator="equal">
      <formula>"Beehive"</formula>
    </cfRule>
  </conditionalFormatting>
  <conditionalFormatting sqref="A1:A187">
    <cfRule type="cellIs" dxfId="40" priority="19" operator="equal">
      <formula>"TP"</formula>
    </cfRule>
  </conditionalFormatting>
  <conditionalFormatting sqref="A1:A187">
    <cfRule type="cellIs" dxfId="2" priority="20" operator="equal">
      <formula>"AA"</formula>
    </cfRule>
  </conditionalFormatting>
  <conditionalFormatting sqref="H42:H74">
    <cfRule type="colorScale" priority="21">
      <colorScale>
        <cfvo type="min"/>
        <cfvo type="percentile" val="50"/>
        <cfvo type="max"/>
        <color rgb="FFE67C73"/>
        <color rgb="FFFFD666"/>
        <color rgb="FF57BB8A"/>
      </colorScale>
    </cfRule>
  </conditionalFormatting>
  <conditionalFormatting sqref="H76:H99">
    <cfRule type="colorScale" priority="22">
      <colorScale>
        <cfvo type="min"/>
        <cfvo type="percentile" val="50"/>
        <cfvo type="max"/>
        <color rgb="FFE67C73"/>
        <color rgb="FFFFD666"/>
        <color rgb="FF57BB8A"/>
      </colorScale>
    </cfRule>
  </conditionalFormatting>
  <conditionalFormatting sqref="H101:H141">
    <cfRule type="colorScale" priority="23">
      <colorScale>
        <cfvo type="min"/>
        <cfvo type="percentile" val="50"/>
        <cfvo type="max"/>
        <color rgb="FFE67C73"/>
        <color rgb="FFFFD666"/>
        <color rgb="FF57BB8A"/>
      </colorScale>
    </cfRule>
  </conditionalFormatting>
  <conditionalFormatting sqref="H143:H167">
    <cfRule type="colorScale" priority="24">
      <colorScale>
        <cfvo type="min"/>
        <cfvo type="percentile" val="50"/>
        <cfvo type="max"/>
        <color rgb="FFE67C73"/>
        <color rgb="FFFFD666"/>
        <color rgb="FF57BB8A"/>
      </colorScale>
    </cfRule>
  </conditionalFormatting>
  <conditionalFormatting sqref="I42:I74">
    <cfRule type="colorScale" priority="25">
      <colorScale>
        <cfvo type="min"/>
        <cfvo type="percentile" val="50"/>
        <cfvo type="max"/>
        <color rgb="FFE67C73"/>
        <color rgb="FFFFD666"/>
        <color rgb="FF57BB8A"/>
      </colorScale>
    </cfRule>
  </conditionalFormatting>
  <conditionalFormatting sqref="I76:I99">
    <cfRule type="colorScale" priority="26">
      <colorScale>
        <cfvo type="min"/>
        <cfvo type="percentile" val="50"/>
        <cfvo type="max"/>
        <color rgb="FFE67C73"/>
        <color rgb="FFFFD666"/>
        <color rgb="FF57BB8A"/>
      </colorScale>
    </cfRule>
  </conditionalFormatting>
  <conditionalFormatting sqref="I101:I141">
    <cfRule type="colorScale" priority="27">
      <colorScale>
        <cfvo type="min"/>
        <cfvo type="percentile" val="50"/>
        <cfvo type="max"/>
        <color rgb="FFE67C73"/>
        <color rgb="FFFFD666"/>
        <color rgb="FF57BB8A"/>
      </colorScale>
    </cfRule>
  </conditionalFormatting>
  <conditionalFormatting sqref="I143:I167">
    <cfRule type="colorScale" priority="28">
      <colorScale>
        <cfvo type="min"/>
        <cfvo type="percentile" val="50"/>
        <cfvo type="max"/>
        <color rgb="FFE67C73"/>
        <color rgb="FFFFD666"/>
        <color rgb="FF57BB8A"/>
      </colorScale>
    </cfRule>
  </conditionalFormatting>
  <conditionalFormatting sqref="J42:J74">
    <cfRule type="colorScale" priority="29">
      <colorScale>
        <cfvo type="min"/>
        <cfvo type="percentile" val="50"/>
        <cfvo type="max"/>
        <color rgb="FFE67C73"/>
        <color rgb="FFFFD666"/>
        <color rgb="FF57BB8A"/>
      </colorScale>
    </cfRule>
  </conditionalFormatting>
  <conditionalFormatting sqref="J76:J99">
    <cfRule type="colorScale" priority="30">
      <colorScale>
        <cfvo type="min"/>
        <cfvo type="percentile" val="50"/>
        <cfvo type="max"/>
        <color rgb="FFE67C73"/>
        <color rgb="FFFFD666"/>
        <color rgb="FF57BB8A"/>
      </colorScale>
    </cfRule>
  </conditionalFormatting>
  <conditionalFormatting sqref="J101:J141">
    <cfRule type="colorScale" priority="31">
      <colorScale>
        <cfvo type="min"/>
        <cfvo type="percentile" val="50"/>
        <cfvo type="max"/>
        <color rgb="FFE67C73"/>
        <color rgb="FFFFD666"/>
        <color rgb="FF57BB8A"/>
      </colorScale>
    </cfRule>
  </conditionalFormatting>
  <conditionalFormatting sqref="J143:J167">
    <cfRule type="colorScale" priority="32">
      <colorScale>
        <cfvo type="min"/>
        <cfvo type="percentile" val="50"/>
        <cfvo type="max"/>
        <color rgb="FFE67C73"/>
        <color rgb="FFFFD666"/>
        <color rgb="FF57BB8A"/>
      </colorScale>
    </cfRule>
  </conditionalFormatting>
  <conditionalFormatting sqref="H169:H185">
    <cfRule type="colorScale" priority="33">
      <colorScale>
        <cfvo type="min"/>
        <cfvo type="percentile" val="50"/>
        <cfvo type="max"/>
        <color rgb="FFE67C73"/>
        <color rgb="FFFFD666"/>
        <color rgb="FF57BB8A"/>
      </colorScale>
    </cfRule>
  </conditionalFormatting>
  <conditionalFormatting sqref="I169:I185">
    <cfRule type="colorScale" priority="34">
      <colorScale>
        <cfvo type="min"/>
        <cfvo type="percentile" val="50"/>
        <cfvo type="max"/>
        <color rgb="FFE67C73"/>
        <color rgb="FFFFD666"/>
        <color rgb="FF57BB8A"/>
      </colorScale>
    </cfRule>
  </conditionalFormatting>
  <conditionalFormatting sqref="F169:F185 J169:J185">
    <cfRule type="colorScale" priority="35">
      <colorScale>
        <cfvo type="min"/>
        <cfvo type="percentile" val="50"/>
        <cfvo type="max"/>
        <color rgb="FFE67C73"/>
        <color rgb="FFFFD666"/>
        <color rgb="FF57BB8A"/>
      </colorScale>
    </cfRule>
  </conditionalFormatting>
  <conditionalFormatting sqref="A1:A187">
    <cfRule type="cellIs" dxfId="21" priority="36" operator="equal">
      <formula>"CB"</formula>
    </cfRule>
  </conditionalFormatting>
  <conditionalFormatting sqref="F1:F40">
    <cfRule type="colorScale" priority="37">
      <colorScale>
        <cfvo type="min"/>
        <cfvo type="percentile" val="50"/>
        <cfvo type="max"/>
        <color rgb="FFE67C73"/>
        <color rgb="FFFFD666"/>
        <color rgb="FF57BB8A"/>
      </colorScale>
    </cfRule>
  </conditionalFormatting>
  <conditionalFormatting sqref="F42:F74">
    <cfRule type="colorScale" priority="38">
      <colorScale>
        <cfvo type="min"/>
        <cfvo type="percentile" val="50"/>
        <cfvo type="max"/>
        <color rgb="FFE67C73"/>
        <color rgb="FFFFD666"/>
        <color rgb="FF57BB8A"/>
      </colorScale>
    </cfRule>
  </conditionalFormatting>
  <conditionalFormatting sqref="F76:F99">
    <cfRule type="colorScale" priority="39">
      <colorScale>
        <cfvo type="min"/>
        <cfvo type="percentile" val="50"/>
        <cfvo type="max"/>
        <color rgb="FFE67C73"/>
        <color rgb="FFFFD666"/>
        <color rgb="FF57BB8A"/>
      </colorScale>
    </cfRule>
  </conditionalFormatting>
  <conditionalFormatting sqref="F101:F141">
    <cfRule type="colorScale" priority="40">
      <colorScale>
        <cfvo type="min"/>
        <cfvo type="percentile" val="50"/>
        <cfvo type="max"/>
        <color rgb="FFE67C73"/>
        <color rgb="FFFFD666"/>
        <color rgb="FF57BB8A"/>
      </colorScale>
    </cfRule>
  </conditionalFormatting>
  <hyperlinks>
    <hyperlink r:id="rId2" ref="B8"/>
    <hyperlink r:id="rId3" ref="B9"/>
    <hyperlink r:id="rId4" ref="B11"/>
    <hyperlink r:id="rId5" ref="B17"/>
    <hyperlink r:id="rId6" ref="B19"/>
    <hyperlink r:id="rId7" ref="B20"/>
    <hyperlink r:id="rId8" ref="B21"/>
    <hyperlink r:id="rId9" ref="B26"/>
    <hyperlink r:id="rId10" ref="B29"/>
    <hyperlink r:id="rId11" location="Type_3" ref="B31"/>
    <hyperlink r:id="rId12" ref="B36"/>
    <hyperlink r:id="rId13" ref="B37"/>
    <hyperlink r:id="rId14" ref="B38"/>
    <hyperlink r:id="rId15" ref="B45"/>
    <hyperlink r:id="rId16" ref="B48"/>
    <hyperlink r:id="rId17" ref="B50"/>
    <hyperlink r:id="rId18" ref="B51"/>
    <hyperlink r:id="rId19" location="Type_3" ref="B57"/>
    <hyperlink r:id="rId20" ref="B58"/>
    <hyperlink r:id="rId21" location="Type_3" ref="B62"/>
    <hyperlink r:id="rId22" ref="B67"/>
    <hyperlink r:id="rId23" location="Type_3" ref="B69"/>
    <hyperlink r:id="rId24" ref="B71"/>
    <hyperlink r:id="rId25" ref="B73"/>
    <hyperlink r:id="rId26" ref="B78"/>
    <hyperlink r:id="rId27" location="Type_2" ref="B84"/>
    <hyperlink r:id="rId28" ref="B86"/>
    <hyperlink r:id="rId29" location="Type_3" ref="B89"/>
    <hyperlink r:id="rId30" ref="B91"/>
    <hyperlink r:id="rId31" ref="B93"/>
    <hyperlink r:id="rId32" ref="B95"/>
    <hyperlink r:id="rId33" ref="B96"/>
    <hyperlink r:id="rId34" location="CB_Variant" ref="B99"/>
    <hyperlink r:id="rId35" ref="B105"/>
    <hyperlink r:id="rId36" ref="B106"/>
    <hyperlink r:id="rId37" ref="B111"/>
    <hyperlink r:id="rId38" ref="B112"/>
    <hyperlink r:id="rId39" ref="B117"/>
    <hyperlink r:id="rId40" ref="B120"/>
    <hyperlink r:id="rId41" ref="B123"/>
    <hyperlink r:id="rId42" location="Type_3" ref="B126"/>
    <hyperlink r:id="rId43" ref="B132"/>
    <hyperlink r:id="rId44" ref="B133"/>
    <hyperlink r:id="rId45" ref="B135"/>
    <hyperlink r:id="rId46" ref="B137"/>
    <hyperlink r:id="rId47" ref="B138"/>
    <hyperlink r:id="rId48" ref="B140"/>
    <hyperlink r:id="rId49" ref="B146"/>
    <hyperlink r:id="rId50" ref="B147"/>
    <hyperlink r:id="rId51" ref="B153"/>
    <hyperlink r:id="rId52" ref="B156"/>
    <hyperlink r:id="rId53" ref="B157"/>
    <hyperlink r:id="rId54" ref="B162"/>
    <hyperlink r:id="rId55" ref="B164"/>
    <hyperlink r:id="rId56" ref="B165"/>
    <hyperlink r:id="rId57" location="Type_0" ref="B167"/>
    <hyperlink r:id="rId58" ref="B171"/>
    <hyperlink r:id="rId59" ref="B172"/>
    <hyperlink r:id="rId60" ref="B173"/>
    <hyperlink r:id="rId61" ref="B180"/>
    <hyperlink r:id="rId62" ref="B181"/>
    <hyperlink r:id="rId63" ref="B183"/>
    <hyperlink r:id="rId64" ref="B185"/>
  </hyperlinks>
  <drawing r:id="rId65"/>
  <legacyDrawing r:id="rId66"/>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00"/>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12.0"/>
    <col customWidth="1" min="2" max="2" width="20.0"/>
    <col customWidth="1" min="3" max="3" width="10.86"/>
    <col customWidth="1" min="4" max="4" width="8.14"/>
    <col customWidth="1" min="5" max="5" width="22.14"/>
    <col customWidth="1" min="6" max="7" width="8.29"/>
    <col customWidth="1" min="8" max="9" width="8.57"/>
    <col customWidth="1" min="10" max="10" width="23.43"/>
    <col customWidth="1" min="11" max="12" width="6.57"/>
    <col customWidth="1" min="13" max="14" width="5.86"/>
    <col customWidth="1" min="15" max="15" width="5.14"/>
    <col customWidth="1" min="16" max="16" width="18.43"/>
    <col customWidth="1" min="17" max="17" width="53.14"/>
  </cols>
  <sheetData>
    <row r="1">
      <c r="A1" s="464" t="s">
        <v>4</v>
      </c>
      <c r="B1" s="363" t="s">
        <v>2215</v>
      </c>
      <c r="C1" s="364" t="s">
        <v>1835</v>
      </c>
      <c r="D1" s="363" t="s">
        <v>1837</v>
      </c>
      <c r="E1" s="363" t="s">
        <v>2216</v>
      </c>
      <c r="F1" s="363" t="s">
        <v>1840</v>
      </c>
      <c r="G1" s="363" t="s">
        <v>1841</v>
      </c>
      <c r="H1" s="363" t="s">
        <v>1842</v>
      </c>
      <c r="I1" s="363" t="s">
        <v>2217</v>
      </c>
      <c r="J1" s="363" t="s">
        <v>2218</v>
      </c>
      <c r="K1" s="363" t="s">
        <v>2219</v>
      </c>
      <c r="L1" s="363" t="s">
        <v>2220</v>
      </c>
      <c r="M1" s="363" t="s">
        <v>7</v>
      </c>
      <c r="N1" s="363" t="s">
        <v>13</v>
      </c>
      <c r="O1" s="363" t="s">
        <v>2221</v>
      </c>
      <c r="P1" s="363" t="s">
        <v>24</v>
      </c>
      <c r="Q1" s="363" t="s">
        <v>26</v>
      </c>
    </row>
    <row r="2" ht="56.25" customHeight="1">
      <c r="A2" s="370" t="s">
        <v>2222</v>
      </c>
      <c r="B2" s="366" t="str">
        <f>HYPERLINK("https://azurlane.koumakan.jp/Brewster_F2A_Buffalo#Type_3","F2A Buffalo")</f>
        <v>F2A Buffalo</v>
      </c>
      <c r="C2" s="374"/>
      <c r="D2" s="369">
        <v>11.69</v>
      </c>
      <c r="E2" s="368" t="s">
        <v>551</v>
      </c>
      <c r="F2" s="370">
        <v>0.0</v>
      </c>
      <c r="G2" s="370">
        <v>0.0</v>
      </c>
      <c r="H2" s="370">
        <v>0.0</v>
      </c>
      <c r="I2" s="370">
        <v>88.0</v>
      </c>
      <c r="J2" s="369" t="s">
        <v>2223</v>
      </c>
      <c r="K2" s="369">
        <v>4.45</v>
      </c>
      <c r="L2" s="369">
        <v>22.16</v>
      </c>
      <c r="M2" s="369">
        <v>70.0</v>
      </c>
      <c r="N2" s="369">
        <v>9.0</v>
      </c>
      <c r="O2" s="369" t="s">
        <v>2224</v>
      </c>
      <c r="P2" s="380"/>
      <c r="Q2" s="369"/>
    </row>
    <row r="3" ht="56.25" customHeight="1">
      <c r="A3" s="377" t="s">
        <v>2222</v>
      </c>
      <c r="B3" s="373" t="str">
        <f>HYPERLINK("https://azurlane.koumakan.jp/Gourdou-Leseurre_GL.2#Type_0","Gourdou-Leseurre GL.2")</f>
        <v>Gourdou-Leseurre GL.2</v>
      </c>
      <c r="C3" s="374"/>
      <c r="D3" s="375">
        <v>11.44</v>
      </c>
      <c r="E3" s="375" t="s">
        <v>551</v>
      </c>
      <c r="F3" s="419">
        <v>0.0</v>
      </c>
      <c r="G3" s="419">
        <v>0.0</v>
      </c>
      <c r="H3" s="419">
        <v>0.0</v>
      </c>
      <c r="I3" s="419">
        <v>51.0</v>
      </c>
      <c r="J3" s="375" t="s">
        <v>2225</v>
      </c>
      <c r="K3" s="376">
        <v>2.15</v>
      </c>
      <c r="L3" s="376">
        <v>14.69</v>
      </c>
      <c r="M3" s="375">
        <v>60.0</v>
      </c>
      <c r="N3" s="375">
        <v>8.5</v>
      </c>
      <c r="O3" s="375" t="s">
        <v>2226</v>
      </c>
      <c r="P3" s="375" t="s">
        <v>2227</v>
      </c>
      <c r="Q3" s="465"/>
    </row>
    <row r="4" ht="56.25" customHeight="1">
      <c r="A4" s="370" t="s">
        <v>2222</v>
      </c>
      <c r="B4" s="366" t="str">
        <f>HYPERLINK("https://azurlane.koumakan.jp/Mitsubishi_A5M_Type_96#Type_3","A5M Claude")</f>
        <v>A5M Claude</v>
      </c>
      <c r="C4" s="374"/>
      <c r="D4" s="369">
        <v>10.76</v>
      </c>
      <c r="E4" s="368" t="s">
        <v>551</v>
      </c>
      <c r="F4" s="370">
        <v>0.0</v>
      </c>
      <c r="G4" s="370">
        <v>0.0</v>
      </c>
      <c r="H4" s="370">
        <v>0.0</v>
      </c>
      <c r="I4" s="370">
        <v>86.0</v>
      </c>
      <c r="J4" s="369" t="s">
        <v>2225</v>
      </c>
      <c r="K4" s="369">
        <v>2.41</v>
      </c>
      <c r="L4" s="369">
        <v>17.84</v>
      </c>
      <c r="M4" s="369">
        <v>63.0</v>
      </c>
      <c r="N4" s="369">
        <v>8.0</v>
      </c>
      <c r="O4" s="369" t="s">
        <v>2224</v>
      </c>
      <c r="P4" s="380"/>
      <c r="Q4" s="380"/>
    </row>
    <row r="5" ht="56.25" customHeight="1">
      <c r="A5" s="377" t="s">
        <v>2222</v>
      </c>
      <c r="B5" s="373" t="str">
        <f>HYPERLINK("https://azurlane.koumakan.jp/Gloster_Sea_Gladiator#Type_3","Sea Gladiator")</f>
        <v>Sea Gladiator</v>
      </c>
      <c r="C5" s="374"/>
      <c r="D5" s="375">
        <v>10.64</v>
      </c>
      <c r="E5" s="375" t="s">
        <v>551</v>
      </c>
      <c r="F5" s="419">
        <v>0.0</v>
      </c>
      <c r="G5" s="419">
        <v>0.0</v>
      </c>
      <c r="H5" s="419">
        <v>0.0</v>
      </c>
      <c r="I5" s="419">
        <v>76.0</v>
      </c>
      <c r="J5" s="375" t="s">
        <v>2228</v>
      </c>
      <c r="K5" s="376">
        <v>4.07</v>
      </c>
      <c r="L5" s="376">
        <v>30.98</v>
      </c>
      <c r="M5" s="375">
        <v>66.0</v>
      </c>
      <c r="N5" s="375">
        <v>9.0</v>
      </c>
      <c r="O5" s="375" t="s">
        <v>2224</v>
      </c>
      <c r="P5" s="375"/>
      <c r="Q5" s="465"/>
    </row>
    <row r="6" ht="56.25" customHeight="1">
      <c r="A6" s="370" t="s">
        <v>2222</v>
      </c>
      <c r="B6" s="387" t="s">
        <v>2229</v>
      </c>
      <c r="C6" s="374"/>
      <c r="D6" s="368">
        <v>10.51</v>
      </c>
      <c r="E6" s="368" t="s">
        <v>551</v>
      </c>
      <c r="F6" s="392">
        <v>0.0</v>
      </c>
      <c r="G6" s="392">
        <v>0.0</v>
      </c>
      <c r="H6" s="392">
        <v>0.0</v>
      </c>
      <c r="I6" s="392">
        <v>76.0</v>
      </c>
      <c r="J6" s="368" t="s">
        <v>2228</v>
      </c>
      <c r="K6" s="369">
        <v>4.53</v>
      </c>
      <c r="L6" s="369">
        <v>34.49</v>
      </c>
      <c r="M6" s="368">
        <v>66.0</v>
      </c>
      <c r="N6" s="368">
        <v>9.0</v>
      </c>
      <c r="O6" s="368" t="s">
        <v>2226</v>
      </c>
      <c r="P6" s="368"/>
      <c r="Q6" s="466"/>
    </row>
    <row r="7" ht="56.25" customHeight="1">
      <c r="A7" s="377" t="s">
        <v>2222</v>
      </c>
      <c r="B7" s="389" t="s">
        <v>2230</v>
      </c>
      <c r="C7" s="374"/>
      <c r="D7" s="375">
        <v>12.05</v>
      </c>
      <c r="E7" s="375" t="s">
        <v>2231</v>
      </c>
      <c r="F7" s="419">
        <v>15.75</v>
      </c>
      <c r="G7" s="419">
        <v>16.74</v>
      </c>
      <c r="H7" s="419">
        <v>19.69</v>
      </c>
      <c r="I7" s="419">
        <v>40.0</v>
      </c>
      <c r="J7" s="375" t="s">
        <v>2232</v>
      </c>
      <c r="K7" s="376">
        <v>6.11</v>
      </c>
      <c r="L7" s="376">
        <v>40.2</v>
      </c>
      <c r="M7" s="375">
        <v>66.0</v>
      </c>
      <c r="N7" s="375">
        <v>8.0</v>
      </c>
      <c r="O7" s="375" t="s">
        <v>2226</v>
      </c>
      <c r="P7" s="375"/>
      <c r="Q7" s="465"/>
    </row>
    <row r="8" ht="56.25" customHeight="1">
      <c r="A8" s="370" t="s">
        <v>2222</v>
      </c>
      <c r="B8" s="366" t="str">
        <f>HYPERLINK("https://azurlane.koumakan.jp/Grumman_F4F_Wildcat#Type_3","F4F Wildcat")</f>
        <v>F4F Wildcat</v>
      </c>
      <c r="C8" s="394"/>
      <c r="D8" s="369">
        <v>10.55</v>
      </c>
      <c r="E8" s="368" t="s">
        <v>551</v>
      </c>
      <c r="F8" s="370">
        <v>0.0</v>
      </c>
      <c r="G8" s="370">
        <v>0.0</v>
      </c>
      <c r="H8" s="370">
        <v>0.0</v>
      </c>
      <c r="I8" s="370">
        <v>116.0</v>
      </c>
      <c r="J8" s="369" t="s">
        <v>2233</v>
      </c>
      <c r="K8" s="369">
        <v>9.44</v>
      </c>
      <c r="L8" s="369">
        <v>37.76</v>
      </c>
      <c r="M8" s="369">
        <v>101.0</v>
      </c>
      <c r="N8" s="369">
        <v>10.0</v>
      </c>
      <c r="O8" s="369" t="s">
        <v>2224</v>
      </c>
      <c r="P8" s="380"/>
      <c r="Q8" s="369"/>
    </row>
    <row r="9" ht="56.25" customHeight="1">
      <c r="A9" s="377" t="s">
        <v>2222</v>
      </c>
      <c r="B9" s="373" t="str">
        <f>HYPERLINK("https://azurlane.koumakan.jp/Messerschmitt_BF-109T#Type_3","Messerschmitt BF-109T")</f>
        <v>Messerschmitt BF-109T</v>
      </c>
      <c r="C9" s="394"/>
      <c r="D9" s="376">
        <v>9.78</v>
      </c>
      <c r="E9" s="375" t="s">
        <v>551</v>
      </c>
      <c r="F9" s="377">
        <v>0.0</v>
      </c>
      <c r="G9" s="377">
        <v>0.0</v>
      </c>
      <c r="H9" s="377">
        <v>0.0</v>
      </c>
      <c r="I9" s="377">
        <v>42.0</v>
      </c>
      <c r="J9" s="376" t="s">
        <v>2232</v>
      </c>
      <c r="K9" s="376">
        <v>9.59</v>
      </c>
      <c r="L9" s="376">
        <v>68.66</v>
      </c>
      <c r="M9" s="376">
        <v>96.0</v>
      </c>
      <c r="N9" s="376">
        <v>9.0</v>
      </c>
      <c r="O9" s="376" t="s">
        <v>2224</v>
      </c>
      <c r="P9" s="385"/>
      <c r="Q9" s="378"/>
    </row>
    <row r="10" ht="56.25" customHeight="1">
      <c r="A10" s="370" t="s">
        <v>2222</v>
      </c>
      <c r="B10" s="387" t="s">
        <v>2234</v>
      </c>
      <c r="C10" s="394"/>
      <c r="D10" s="369">
        <v>11.37</v>
      </c>
      <c r="E10" s="368" t="s">
        <v>551</v>
      </c>
      <c r="F10" s="370">
        <v>0.0</v>
      </c>
      <c r="G10" s="370">
        <v>0.0</v>
      </c>
      <c r="H10" s="370">
        <v>0.0</v>
      </c>
      <c r="I10" s="370">
        <v>70.0</v>
      </c>
      <c r="J10" s="369" t="s">
        <v>2235</v>
      </c>
      <c r="K10" s="369">
        <v>15.88</v>
      </c>
      <c r="L10" s="369">
        <v>85.33</v>
      </c>
      <c r="M10" s="369">
        <v>96.0</v>
      </c>
      <c r="N10" s="369">
        <v>10.0</v>
      </c>
      <c r="O10" s="369" t="s">
        <v>2226</v>
      </c>
      <c r="P10" s="369" t="s">
        <v>1871</v>
      </c>
      <c r="Q10" s="380"/>
    </row>
    <row r="11" ht="56.25" customHeight="1">
      <c r="A11" s="377" t="s">
        <v>2222</v>
      </c>
      <c r="B11" s="373" t="str">
        <f>HYPERLINK("https://azurlane.koumakan.jp/Messerschmitt_Me-155A#Type_2","Messerschmitt Me-155A")</f>
        <v>Messerschmitt Me-155A</v>
      </c>
      <c r="C11" s="394"/>
      <c r="D11" s="376">
        <v>9.51</v>
      </c>
      <c r="E11" s="375" t="s">
        <v>551</v>
      </c>
      <c r="F11" s="377">
        <v>0.0</v>
      </c>
      <c r="G11" s="377">
        <v>0.0</v>
      </c>
      <c r="H11" s="377">
        <v>0.0</v>
      </c>
      <c r="I11" s="377">
        <v>65.0</v>
      </c>
      <c r="J11" s="376" t="s">
        <v>2236</v>
      </c>
      <c r="K11" s="376">
        <v>12.59</v>
      </c>
      <c r="L11" s="376">
        <v>55.11</v>
      </c>
      <c r="M11" s="376">
        <v>96.0</v>
      </c>
      <c r="N11" s="376">
        <v>9.5</v>
      </c>
      <c r="O11" s="376" t="s">
        <v>2237</v>
      </c>
      <c r="P11" s="376"/>
      <c r="Q11" s="378"/>
    </row>
    <row r="12" ht="56.25" customHeight="1">
      <c r="A12" s="370" t="s">
        <v>2222</v>
      </c>
      <c r="B12" s="366" t="str">
        <f>HYPERLINK("https://azurlane.koumakan.jp/Grumman_XF5F_Skyrocket#Type_0","XF5F Skyrocket")</f>
        <v>XF5F Skyrocket</v>
      </c>
      <c r="C12" s="394"/>
      <c r="D12" s="369">
        <v>8.98</v>
      </c>
      <c r="E12" s="368" t="s">
        <v>551</v>
      </c>
      <c r="F12" s="370">
        <v>0.0</v>
      </c>
      <c r="G12" s="370">
        <v>0.0</v>
      </c>
      <c r="H12" s="370">
        <v>0.0</v>
      </c>
      <c r="I12" s="370">
        <v>136.0</v>
      </c>
      <c r="J12" s="369" t="s">
        <v>2238</v>
      </c>
      <c r="K12" s="369">
        <v>11.56</v>
      </c>
      <c r="L12" s="369">
        <v>68.76</v>
      </c>
      <c r="M12" s="369">
        <v>101.0</v>
      </c>
      <c r="N12" s="369">
        <v>9.0</v>
      </c>
      <c r="O12" s="369" t="s">
        <v>2226</v>
      </c>
      <c r="P12" s="383"/>
      <c r="Q12" s="380"/>
    </row>
    <row r="13" ht="56.25" customHeight="1">
      <c r="A13" s="377" t="s">
        <v>2222</v>
      </c>
      <c r="B13" s="389" t="s">
        <v>2239</v>
      </c>
      <c r="C13" s="394"/>
      <c r="D13" s="376">
        <v>10.97</v>
      </c>
      <c r="E13" s="398" t="s">
        <v>2240</v>
      </c>
      <c r="F13" s="377">
        <v>11.88</v>
      </c>
      <c r="G13" s="377">
        <v>13.37</v>
      </c>
      <c r="H13" s="377">
        <v>16.34</v>
      </c>
      <c r="I13" s="377">
        <v>148.0</v>
      </c>
      <c r="J13" s="376" t="s">
        <v>2241</v>
      </c>
      <c r="K13" s="376">
        <v>7.63</v>
      </c>
      <c r="L13" s="376">
        <v>59.78</v>
      </c>
      <c r="M13" s="376">
        <v>91.0</v>
      </c>
      <c r="N13" s="376">
        <v>9.0</v>
      </c>
      <c r="O13" s="376" t="s">
        <v>2224</v>
      </c>
      <c r="P13" s="378"/>
      <c r="Q13" s="376"/>
    </row>
    <row r="14" ht="56.25" customHeight="1">
      <c r="A14" s="370" t="s">
        <v>2222</v>
      </c>
      <c r="B14" s="387" t="s">
        <v>2242</v>
      </c>
      <c r="C14" s="394"/>
      <c r="D14" s="369">
        <v>10.24</v>
      </c>
      <c r="E14" s="400" t="s">
        <v>2243</v>
      </c>
      <c r="F14" s="370">
        <v>12.23</v>
      </c>
      <c r="G14" s="370">
        <v>13.0</v>
      </c>
      <c r="H14" s="370">
        <v>15.29</v>
      </c>
      <c r="I14" s="370">
        <v>160.0</v>
      </c>
      <c r="J14" s="369" t="s">
        <v>2244</v>
      </c>
      <c r="K14" s="369">
        <v>9.3</v>
      </c>
      <c r="L14" s="369">
        <v>53.72</v>
      </c>
      <c r="M14" s="369">
        <v>101.0</v>
      </c>
      <c r="N14" s="369">
        <v>9.0</v>
      </c>
      <c r="O14" s="369" t="s">
        <v>2224</v>
      </c>
      <c r="P14" s="380"/>
      <c r="Q14" s="369"/>
    </row>
    <row r="15" ht="56.25" customHeight="1">
      <c r="A15" s="377" t="s">
        <v>2222</v>
      </c>
      <c r="B15" s="389" t="s">
        <v>2245</v>
      </c>
      <c r="C15" s="394"/>
      <c r="D15" s="376">
        <v>11.75</v>
      </c>
      <c r="E15" s="398" t="s">
        <v>2246</v>
      </c>
      <c r="F15" s="377">
        <v>10.67</v>
      </c>
      <c r="G15" s="377">
        <v>11.33</v>
      </c>
      <c r="H15" s="377">
        <v>13.33</v>
      </c>
      <c r="I15" s="377">
        <v>88.0</v>
      </c>
      <c r="J15" s="376" t="s">
        <v>2223</v>
      </c>
      <c r="K15" s="376">
        <v>5.65</v>
      </c>
      <c r="L15" s="376">
        <v>30.84</v>
      </c>
      <c r="M15" s="376">
        <v>101.0</v>
      </c>
      <c r="N15" s="376">
        <v>9.5</v>
      </c>
      <c r="O15" s="376" t="s">
        <v>2224</v>
      </c>
      <c r="P15" s="378"/>
      <c r="Q15" s="376"/>
    </row>
    <row r="16" ht="56.25" customHeight="1">
      <c r="A16" s="370" t="s">
        <v>2222</v>
      </c>
      <c r="B16" s="366" t="str">
        <f>HYPERLINK("https://azurlane.koumakan.jp/Mitsubishi_A6M2_Zero#Type_3","A6M2 Zero")</f>
        <v>A6M2 Zero</v>
      </c>
      <c r="C16" s="394"/>
      <c r="D16" s="369">
        <v>10.24</v>
      </c>
      <c r="E16" s="368" t="s">
        <v>2247</v>
      </c>
      <c r="F16" s="370">
        <v>12.23</v>
      </c>
      <c r="G16" s="370">
        <v>13.0</v>
      </c>
      <c r="H16" s="370">
        <v>15.29</v>
      </c>
      <c r="I16" s="370">
        <v>106.0</v>
      </c>
      <c r="J16" s="369" t="s">
        <v>2244</v>
      </c>
      <c r="K16" s="369">
        <v>9.3</v>
      </c>
      <c r="L16" s="369">
        <v>50.77</v>
      </c>
      <c r="M16" s="369">
        <v>91.0</v>
      </c>
      <c r="N16" s="369">
        <v>9.0</v>
      </c>
      <c r="O16" s="369" t="s">
        <v>2224</v>
      </c>
      <c r="P16" s="369"/>
      <c r="Q16" s="369"/>
    </row>
    <row r="17" ht="56.25" customHeight="1">
      <c r="A17" s="377" t="s">
        <v>2222</v>
      </c>
      <c r="B17" s="389" t="s">
        <v>2248</v>
      </c>
      <c r="C17" s="394"/>
      <c r="D17" s="376">
        <v>10.0</v>
      </c>
      <c r="E17" s="375" t="s">
        <v>2249</v>
      </c>
      <c r="F17" s="377">
        <v>12.52</v>
      </c>
      <c r="G17" s="377">
        <v>13.31</v>
      </c>
      <c r="H17" s="377">
        <v>15.66</v>
      </c>
      <c r="I17" s="377">
        <v>120.0</v>
      </c>
      <c r="J17" s="376" t="s">
        <v>2244</v>
      </c>
      <c r="K17" s="376">
        <v>9.52</v>
      </c>
      <c r="L17" s="376">
        <v>50.55</v>
      </c>
      <c r="M17" s="376">
        <v>91.0</v>
      </c>
      <c r="N17" s="376">
        <v>9.0</v>
      </c>
      <c r="O17" s="376" t="s">
        <v>2226</v>
      </c>
      <c r="P17" s="376" t="s">
        <v>1871</v>
      </c>
      <c r="Q17" s="376"/>
    </row>
    <row r="18" ht="56.25" customHeight="1">
      <c r="A18" s="467" t="s">
        <v>2222</v>
      </c>
      <c r="B18" s="405" t="str">
        <f>HYPERLINK("https://azurlane.koumakan.jp/Mitsubishi_A6M5_Zero#Type_2","A6M5 Zero")</f>
        <v>A6M5 Zero</v>
      </c>
      <c r="C18" s="403"/>
      <c r="D18" s="369">
        <v>9.76</v>
      </c>
      <c r="E18" s="400" t="s">
        <v>2250</v>
      </c>
      <c r="F18" s="370">
        <v>11.79</v>
      </c>
      <c r="G18" s="370">
        <v>12.53</v>
      </c>
      <c r="H18" s="370">
        <v>14.74</v>
      </c>
      <c r="I18" s="370">
        <v>140.0</v>
      </c>
      <c r="J18" s="369" t="s">
        <v>2244</v>
      </c>
      <c r="K18" s="369">
        <v>8.72</v>
      </c>
      <c r="L18" s="369">
        <v>41.44</v>
      </c>
      <c r="M18" s="369">
        <v>91.0</v>
      </c>
      <c r="N18" s="369">
        <v>8.5</v>
      </c>
      <c r="O18" s="369" t="s">
        <v>2237</v>
      </c>
      <c r="P18" s="401"/>
      <c r="Q18" s="468"/>
    </row>
    <row r="19" ht="56.25" customHeight="1">
      <c r="A19" s="377" t="s">
        <v>2222</v>
      </c>
      <c r="B19" s="373" t="str">
        <f>HYPERLINK("https://azurlane.koumakan.jp/Supermarine_Seafire#Type_3","Seafire")</f>
        <v>Seafire</v>
      </c>
      <c r="C19" s="406"/>
      <c r="D19" s="376">
        <v>10.97</v>
      </c>
      <c r="E19" s="375" t="s">
        <v>2251</v>
      </c>
      <c r="F19" s="377">
        <v>11.88</v>
      </c>
      <c r="G19" s="377">
        <v>13.37</v>
      </c>
      <c r="H19" s="377">
        <v>16.34</v>
      </c>
      <c r="I19" s="377">
        <v>100.0</v>
      </c>
      <c r="J19" s="376" t="s">
        <v>2252</v>
      </c>
      <c r="K19" s="376">
        <v>10.26</v>
      </c>
      <c r="L19" s="376">
        <v>62.07</v>
      </c>
      <c r="M19" s="376">
        <v>96.0</v>
      </c>
      <c r="N19" s="376">
        <v>10.0</v>
      </c>
      <c r="O19" s="376" t="s">
        <v>2224</v>
      </c>
      <c r="P19" s="378"/>
      <c r="Q19" s="378"/>
    </row>
    <row r="20" ht="56.25" customHeight="1">
      <c r="A20" s="467" t="s">
        <v>2222</v>
      </c>
      <c r="B20" s="405" t="str">
        <f>HYPERLINK("https://azurlane.koumakan.jp/Grumman_F6F_Hellcat#Type_2","F6F Hellcat")</f>
        <v>F6F Hellcat</v>
      </c>
      <c r="C20" s="403"/>
      <c r="D20" s="369">
        <v>11.15</v>
      </c>
      <c r="E20" s="400" t="s">
        <v>2253</v>
      </c>
      <c r="F20" s="370">
        <v>21.46</v>
      </c>
      <c r="G20" s="370">
        <v>24.14</v>
      </c>
      <c r="H20" s="370">
        <v>29.5</v>
      </c>
      <c r="I20" s="370">
        <v>156.0</v>
      </c>
      <c r="J20" s="369" t="s">
        <v>2254</v>
      </c>
      <c r="K20" s="369">
        <v>10.23</v>
      </c>
      <c r="L20" s="369">
        <v>45.76</v>
      </c>
      <c r="M20" s="369">
        <v>101.0</v>
      </c>
      <c r="N20" s="369">
        <v>10.5</v>
      </c>
      <c r="O20" s="369" t="s">
        <v>2237</v>
      </c>
      <c r="P20" s="469"/>
      <c r="Q20" s="470"/>
    </row>
    <row r="21" ht="56.25" customHeight="1">
      <c r="A21" s="471" t="s">
        <v>2222</v>
      </c>
      <c r="B21" s="396" t="str">
        <f>HYPERLINK("https://azurlane.koumakan.jp/Supermarine_Seafang#Type_2","Seafang")</f>
        <v>Seafang</v>
      </c>
      <c r="C21" s="403"/>
      <c r="D21" s="376">
        <v>10.91</v>
      </c>
      <c r="E21" s="398" t="s">
        <v>2255</v>
      </c>
      <c r="F21" s="377">
        <v>21.91</v>
      </c>
      <c r="G21" s="377">
        <v>24.65</v>
      </c>
      <c r="H21" s="377">
        <v>30.12</v>
      </c>
      <c r="I21" s="377">
        <v>156.0</v>
      </c>
      <c r="J21" s="376" t="s">
        <v>2256</v>
      </c>
      <c r="K21" s="376">
        <v>9.79</v>
      </c>
      <c r="L21" s="376">
        <v>30.1</v>
      </c>
      <c r="M21" s="376">
        <v>96.0</v>
      </c>
      <c r="N21" s="376">
        <v>9.5</v>
      </c>
      <c r="O21" s="376" t="s">
        <v>2237</v>
      </c>
      <c r="P21" s="457"/>
      <c r="Q21" s="472"/>
    </row>
    <row r="22" ht="56.25" customHeight="1">
      <c r="A22" s="467" t="s">
        <v>2222</v>
      </c>
      <c r="B22" s="405" t="str">
        <f>HYPERLINK("https://azurlane.koumakan.jp/Mitsubishi_A7M_Reppuu#Type_2","A7M Reppuu")</f>
        <v>A7M Reppuu</v>
      </c>
      <c r="C22" s="403"/>
      <c r="D22" s="369">
        <v>10.76</v>
      </c>
      <c r="E22" s="400" t="s">
        <v>2257</v>
      </c>
      <c r="F22" s="370">
        <v>22.21</v>
      </c>
      <c r="G22" s="370">
        <v>24.99</v>
      </c>
      <c r="H22" s="370">
        <v>30.54</v>
      </c>
      <c r="I22" s="370">
        <v>162.0</v>
      </c>
      <c r="J22" s="369" t="s">
        <v>2256</v>
      </c>
      <c r="K22" s="369">
        <v>10.33</v>
      </c>
      <c r="L22" s="369">
        <v>26.74</v>
      </c>
      <c r="M22" s="369">
        <v>91.0</v>
      </c>
      <c r="N22" s="369">
        <v>9.5</v>
      </c>
      <c r="O22" s="369" t="s">
        <v>2237</v>
      </c>
      <c r="P22" s="369" t="s">
        <v>2258</v>
      </c>
      <c r="Q22" s="369"/>
    </row>
    <row r="23" ht="56.25" customHeight="1">
      <c r="A23" s="377" t="s">
        <v>2222</v>
      </c>
      <c r="B23" s="373" t="str">
        <f>HYPERLINK("https://azurlane.koumakan.jp/Vought_F4U_Corsair#Type_3","F4U Corsair")</f>
        <v>F4U Corsair</v>
      </c>
      <c r="C23" s="394"/>
      <c r="D23" s="376">
        <v>11.03</v>
      </c>
      <c r="E23" s="375" t="s">
        <v>2259</v>
      </c>
      <c r="F23" s="377">
        <v>23.64</v>
      </c>
      <c r="G23" s="377">
        <v>26.59</v>
      </c>
      <c r="H23" s="377">
        <v>32.5</v>
      </c>
      <c r="I23" s="377">
        <v>132.0</v>
      </c>
      <c r="J23" s="376" t="s">
        <v>2233</v>
      </c>
      <c r="K23" s="376">
        <v>9.03</v>
      </c>
      <c r="L23" s="376">
        <v>36.13</v>
      </c>
      <c r="M23" s="376">
        <v>101.0</v>
      </c>
      <c r="N23" s="376">
        <v>10.0</v>
      </c>
      <c r="O23" s="376" t="s">
        <v>2224</v>
      </c>
      <c r="P23" s="378"/>
      <c r="Q23" s="376"/>
    </row>
    <row r="24" ht="56.25" customHeight="1">
      <c r="A24" s="370" t="s">
        <v>2222</v>
      </c>
      <c r="B24" s="366" t="str">
        <f>HYPERLINK("https://azurlane.koumakan.jp/Brewster_F2A_Buffalo_(Thach_Squadron)#Type_0","F2A Buffalo (Thach Squadron)")</f>
        <v>F2A Buffalo (Thach Squadron)</v>
      </c>
      <c r="C24" s="407"/>
      <c r="D24" s="369">
        <v>9.44</v>
      </c>
      <c r="E24" s="368" t="s">
        <v>551</v>
      </c>
      <c r="F24" s="370">
        <v>0.0</v>
      </c>
      <c r="G24" s="370">
        <v>0.0</v>
      </c>
      <c r="H24" s="370">
        <v>0.0</v>
      </c>
      <c r="I24" s="370">
        <v>88.0</v>
      </c>
      <c r="J24" s="369" t="s">
        <v>2223</v>
      </c>
      <c r="K24" s="369">
        <v>10.54</v>
      </c>
      <c r="L24" s="369">
        <v>60.37</v>
      </c>
      <c r="M24" s="369">
        <v>93.0</v>
      </c>
      <c r="N24" s="369">
        <v>10.0</v>
      </c>
      <c r="O24" s="369" t="s">
        <v>2226</v>
      </c>
      <c r="P24" s="369" t="s">
        <v>2025</v>
      </c>
      <c r="Q24" s="369" t="s">
        <v>2260</v>
      </c>
    </row>
    <row r="25" ht="56.25" customHeight="1">
      <c r="A25" s="377" t="s">
        <v>2222</v>
      </c>
      <c r="B25" s="373" t="str">
        <f>HYPERLINK("https://azurlane.koumakan.jp/Messerschmitt_Me-155A#Type_3","Messerschmitt Me-155A")</f>
        <v>Messerschmitt Me-155A</v>
      </c>
      <c r="C25" s="407"/>
      <c r="D25" s="376">
        <v>9.24</v>
      </c>
      <c r="E25" s="375" t="s">
        <v>551</v>
      </c>
      <c r="F25" s="377">
        <v>0.0</v>
      </c>
      <c r="G25" s="377">
        <v>0.0</v>
      </c>
      <c r="H25" s="377">
        <v>0.0</v>
      </c>
      <c r="I25" s="377">
        <v>65.0</v>
      </c>
      <c r="J25" s="376" t="s">
        <v>2236</v>
      </c>
      <c r="K25" s="376">
        <v>14.35</v>
      </c>
      <c r="L25" s="376">
        <v>65.5</v>
      </c>
      <c r="M25" s="376">
        <v>105.0</v>
      </c>
      <c r="N25" s="376">
        <v>10.0</v>
      </c>
      <c r="O25" s="376" t="s">
        <v>2224</v>
      </c>
      <c r="P25" s="376" t="s">
        <v>2261</v>
      </c>
      <c r="Q25" s="376"/>
    </row>
    <row r="26" ht="56.25" customHeight="1">
      <c r="A26" s="370" t="s">
        <v>2222</v>
      </c>
      <c r="B26" s="387" t="s">
        <v>2262</v>
      </c>
      <c r="C26" s="407"/>
      <c r="D26" s="369">
        <v>10.61</v>
      </c>
      <c r="E26" s="368" t="s">
        <v>2263</v>
      </c>
      <c r="F26" s="370">
        <v>12.29</v>
      </c>
      <c r="G26" s="370">
        <v>13.82</v>
      </c>
      <c r="H26" s="370">
        <v>16.89</v>
      </c>
      <c r="I26" s="370">
        <v>160.0</v>
      </c>
      <c r="J26" s="369" t="s">
        <v>2252</v>
      </c>
      <c r="K26" s="369">
        <v>11.43</v>
      </c>
      <c r="L26" s="369">
        <v>67.18</v>
      </c>
      <c r="M26" s="369">
        <v>106.0</v>
      </c>
      <c r="N26" s="369">
        <v>10.0</v>
      </c>
      <c r="O26" s="369" t="s">
        <v>2226</v>
      </c>
      <c r="P26" s="369" t="s">
        <v>1871</v>
      </c>
      <c r="Q26" s="369"/>
    </row>
    <row r="27" ht="56.25" customHeight="1">
      <c r="A27" s="377" t="s">
        <v>2222</v>
      </c>
      <c r="B27" s="373" t="str">
        <f>HYPERLINK("https://azurlane.koumakan.jp/Mitsubishi_A6M5_Zero#Type_3","A6M5 Zero")</f>
        <v>A6M5 Zero</v>
      </c>
      <c r="C27" s="407"/>
      <c r="D27" s="376">
        <v>9.52</v>
      </c>
      <c r="E27" s="375" t="s">
        <v>2243</v>
      </c>
      <c r="F27" s="377">
        <v>13.15</v>
      </c>
      <c r="G27" s="377">
        <v>13.98</v>
      </c>
      <c r="H27" s="377">
        <v>16.44</v>
      </c>
      <c r="I27" s="377">
        <v>140.0</v>
      </c>
      <c r="J27" s="376" t="s">
        <v>2244</v>
      </c>
      <c r="K27" s="376">
        <v>10.0</v>
      </c>
      <c r="L27" s="376">
        <v>50.25</v>
      </c>
      <c r="M27" s="376">
        <v>100.0</v>
      </c>
      <c r="N27" s="376">
        <v>9.0</v>
      </c>
      <c r="O27" s="376" t="s">
        <v>2224</v>
      </c>
      <c r="P27" s="376"/>
      <c r="Q27" s="376"/>
    </row>
    <row r="28" ht="56.25" customHeight="1">
      <c r="A28" s="370" t="s">
        <v>2222</v>
      </c>
      <c r="B28" s="387" t="s">
        <v>2264</v>
      </c>
      <c r="C28" s="407"/>
      <c r="D28" s="369">
        <v>9.64</v>
      </c>
      <c r="E28" s="368" t="s">
        <v>2265</v>
      </c>
      <c r="F28" s="370">
        <v>16.52</v>
      </c>
      <c r="G28" s="370">
        <v>19.62</v>
      </c>
      <c r="H28" s="370">
        <v>23.75</v>
      </c>
      <c r="I28" s="370">
        <v>162.0</v>
      </c>
      <c r="J28" s="369" t="s">
        <v>2256</v>
      </c>
      <c r="K28" s="369">
        <v>12.87</v>
      </c>
      <c r="L28" s="369">
        <v>46.73</v>
      </c>
      <c r="M28" s="369">
        <v>119.0</v>
      </c>
      <c r="N28" s="369">
        <v>12.0</v>
      </c>
      <c r="O28" s="369" t="s">
        <v>2226</v>
      </c>
      <c r="P28" s="369" t="s">
        <v>1871</v>
      </c>
      <c r="Q28" s="369"/>
    </row>
    <row r="29" ht="56.25" customHeight="1">
      <c r="A29" s="377" t="s">
        <v>2222</v>
      </c>
      <c r="B29" s="373" t="str">
        <f>HYPERLINK("https://azurlane.koumakan.jp/Grumman_F6F_Hellcat#Type_3","F6F Hellcat")</f>
        <v>F6F Hellcat</v>
      </c>
      <c r="C29" s="407"/>
      <c r="D29" s="376">
        <v>10.9</v>
      </c>
      <c r="E29" s="375" t="s">
        <v>2266</v>
      </c>
      <c r="F29" s="377">
        <v>23.94</v>
      </c>
      <c r="G29" s="377">
        <v>26.93</v>
      </c>
      <c r="H29" s="377">
        <v>32.91</v>
      </c>
      <c r="I29" s="377">
        <v>156.0</v>
      </c>
      <c r="J29" s="376" t="s">
        <v>2254</v>
      </c>
      <c r="K29" s="376">
        <v>11.39</v>
      </c>
      <c r="L29" s="376">
        <v>53.31</v>
      </c>
      <c r="M29" s="376">
        <v>110.0</v>
      </c>
      <c r="N29" s="376">
        <v>11.0</v>
      </c>
      <c r="O29" s="376" t="s">
        <v>2224</v>
      </c>
      <c r="P29" s="385">
        <v>43587.0</v>
      </c>
      <c r="Q29" s="376"/>
    </row>
    <row r="30" ht="56.25" customHeight="1">
      <c r="A30" s="370" t="s">
        <v>2222</v>
      </c>
      <c r="B30" s="366" t="str">
        <f>HYPERLINK("https://azurlane.koumakan.jp/Supermarine_Seafang#Type_3","Seafang")</f>
        <v>Seafang</v>
      </c>
      <c r="C30" s="407"/>
      <c r="D30" s="369">
        <v>10.6</v>
      </c>
      <c r="E30" s="368" t="s">
        <v>2266</v>
      </c>
      <c r="F30" s="370">
        <v>24.59</v>
      </c>
      <c r="G30" s="370">
        <v>27.67</v>
      </c>
      <c r="H30" s="370">
        <v>33.82</v>
      </c>
      <c r="I30" s="370">
        <v>156.0</v>
      </c>
      <c r="J30" s="369" t="s">
        <v>2256</v>
      </c>
      <c r="K30" s="369">
        <v>10.89</v>
      </c>
      <c r="L30" s="369">
        <v>34.94</v>
      </c>
      <c r="M30" s="369">
        <v>105.0</v>
      </c>
      <c r="N30" s="369">
        <v>10.0</v>
      </c>
      <c r="O30" s="369" t="s">
        <v>2224</v>
      </c>
      <c r="P30" s="380"/>
      <c r="Q30" s="369"/>
    </row>
    <row r="31" ht="56.25" customHeight="1">
      <c r="A31" s="377" t="s">
        <v>2222</v>
      </c>
      <c r="B31" s="373" t="str">
        <f>HYPERLINK("https://azurlane.koumakan.jp/Hawker_Sea_Fury#Type_0","Sea Fury")</f>
        <v>Sea Fury</v>
      </c>
      <c r="C31" s="407"/>
      <c r="D31" s="376">
        <v>10.61</v>
      </c>
      <c r="E31" s="375" t="s">
        <v>2266</v>
      </c>
      <c r="F31" s="377">
        <v>24.57</v>
      </c>
      <c r="G31" s="377">
        <v>27.64</v>
      </c>
      <c r="H31" s="377">
        <v>33.79</v>
      </c>
      <c r="I31" s="377">
        <v>160.0</v>
      </c>
      <c r="J31" s="376" t="s">
        <v>2256</v>
      </c>
      <c r="K31" s="376">
        <v>11.7</v>
      </c>
      <c r="L31" s="376">
        <v>40.29</v>
      </c>
      <c r="M31" s="376">
        <v>107.0</v>
      </c>
      <c r="N31" s="376">
        <v>10.0</v>
      </c>
      <c r="O31" s="376" t="s">
        <v>2226</v>
      </c>
      <c r="P31" s="376" t="s">
        <v>2267</v>
      </c>
      <c r="Q31" s="376"/>
    </row>
    <row r="32" ht="56.25" customHeight="1">
      <c r="A32" s="370" t="s">
        <v>2222</v>
      </c>
      <c r="B32" s="366" t="str">
        <f>HYPERLINK("https://azurlane.koumakan.jp/Mitsubishi_A7M_Reppuu#Type_3","A7M Reppuu")</f>
        <v>A7M Reppuu</v>
      </c>
      <c r="C32" s="407"/>
      <c r="D32" s="369">
        <v>10.44</v>
      </c>
      <c r="E32" s="368" t="s">
        <v>2266</v>
      </c>
      <c r="F32" s="370">
        <v>24.97</v>
      </c>
      <c r="G32" s="370">
        <v>28.09</v>
      </c>
      <c r="H32" s="370">
        <v>34.33</v>
      </c>
      <c r="I32" s="370">
        <v>162.0</v>
      </c>
      <c r="J32" s="369" t="s">
        <v>2256</v>
      </c>
      <c r="K32" s="369">
        <v>11.75</v>
      </c>
      <c r="L32" s="369">
        <v>31.68</v>
      </c>
      <c r="M32" s="369">
        <v>100.0</v>
      </c>
      <c r="N32" s="369">
        <v>10.0</v>
      </c>
      <c r="O32" s="369" t="s">
        <v>2224</v>
      </c>
      <c r="P32" s="369" t="s">
        <v>2258</v>
      </c>
      <c r="Q32" s="369" t="s">
        <v>2268</v>
      </c>
    </row>
    <row r="33" ht="56.25" customHeight="1">
      <c r="A33" s="377" t="s">
        <v>2222</v>
      </c>
      <c r="B33" s="389" t="s">
        <v>2269</v>
      </c>
      <c r="C33" s="407"/>
      <c r="D33" s="376">
        <v>10.7</v>
      </c>
      <c r="E33" s="375" t="s">
        <v>2266</v>
      </c>
      <c r="F33" s="377">
        <v>24.37</v>
      </c>
      <c r="G33" s="377">
        <v>27.41</v>
      </c>
      <c r="H33" s="377">
        <v>33.5</v>
      </c>
      <c r="I33" s="377">
        <v>162.0</v>
      </c>
      <c r="J33" s="376" t="s">
        <v>2270</v>
      </c>
      <c r="K33" s="376">
        <v>15.09</v>
      </c>
      <c r="L33" s="376">
        <v>48.12</v>
      </c>
      <c r="M33" s="376">
        <v>90.0</v>
      </c>
      <c r="N33" s="376">
        <v>10.0</v>
      </c>
      <c r="O33" s="376" t="s">
        <v>2226</v>
      </c>
      <c r="P33" s="376" t="s">
        <v>2271</v>
      </c>
      <c r="Q33" s="376"/>
    </row>
    <row r="34" ht="56.25" customHeight="1">
      <c r="A34" s="370" t="s">
        <v>2222</v>
      </c>
      <c r="B34" s="366" t="str">
        <f>HYPERLINK("https://azurlane.koumakan.jp/Vought_F4U_Corsair_(VF-17_Squadron)","F4U Corsair (VF-17 Squadron)")</f>
        <v>F4U Corsair (VF-17 Squadron)</v>
      </c>
      <c r="C34" s="407"/>
      <c r="D34" s="369">
        <v>10.2</v>
      </c>
      <c r="E34" s="368" t="s">
        <v>2266</v>
      </c>
      <c r="F34" s="370">
        <v>26.97</v>
      </c>
      <c r="G34" s="370">
        <v>30.35</v>
      </c>
      <c r="H34" s="370">
        <v>37.09</v>
      </c>
      <c r="I34" s="370">
        <v>148.0</v>
      </c>
      <c r="J34" s="369" t="s">
        <v>2233</v>
      </c>
      <c r="K34" s="369">
        <v>11.03</v>
      </c>
      <c r="L34" s="369">
        <v>45.21</v>
      </c>
      <c r="M34" s="369">
        <v>110.0</v>
      </c>
      <c r="N34" s="369">
        <v>12.0</v>
      </c>
      <c r="O34" s="369" t="s">
        <v>2224</v>
      </c>
      <c r="P34" s="369" t="s">
        <v>2272</v>
      </c>
      <c r="Q34" s="369" t="s">
        <v>2273</v>
      </c>
    </row>
    <row r="35" ht="56.25" customHeight="1">
      <c r="A35" s="377" t="s">
        <v>2222</v>
      </c>
      <c r="B35" s="389" t="s">
        <v>2274</v>
      </c>
      <c r="C35" s="407"/>
      <c r="D35" s="376">
        <v>10.58</v>
      </c>
      <c r="E35" s="375" t="s">
        <v>2275</v>
      </c>
      <c r="F35" s="377">
        <v>30.12</v>
      </c>
      <c r="G35" s="377">
        <v>38.33</v>
      </c>
      <c r="H35" s="377">
        <v>13.69</v>
      </c>
      <c r="I35" s="377">
        <v>65.0</v>
      </c>
      <c r="J35" s="376" t="s">
        <v>2276</v>
      </c>
      <c r="K35" s="376">
        <v>1.88</v>
      </c>
      <c r="L35" s="376">
        <v>12.88</v>
      </c>
      <c r="M35" s="376">
        <v>105.0</v>
      </c>
      <c r="N35" s="376">
        <v>10.0</v>
      </c>
      <c r="O35" s="376" t="s">
        <v>2226</v>
      </c>
      <c r="P35" s="376" t="s">
        <v>2050</v>
      </c>
      <c r="Q35" s="376" t="s">
        <v>2277</v>
      </c>
    </row>
    <row r="36" ht="56.25" customHeight="1">
      <c r="A36" s="370" t="s">
        <v>2222</v>
      </c>
      <c r="B36" s="387" t="s">
        <v>2278</v>
      </c>
      <c r="C36" s="407"/>
      <c r="D36" s="369">
        <v>10.77</v>
      </c>
      <c r="E36" s="368" t="s">
        <v>2279</v>
      </c>
      <c r="F36" s="370">
        <v>27.87</v>
      </c>
      <c r="G36" s="370">
        <v>33.1</v>
      </c>
      <c r="H36" s="370">
        <v>40.06</v>
      </c>
      <c r="I36" s="370">
        <v>196.0</v>
      </c>
      <c r="J36" s="369" t="s">
        <v>2256</v>
      </c>
      <c r="K36" s="369">
        <v>11.48</v>
      </c>
      <c r="L36" s="369">
        <v>39.55</v>
      </c>
      <c r="M36" s="369">
        <v>132.0</v>
      </c>
      <c r="N36" s="369">
        <v>12.0</v>
      </c>
      <c r="O36" s="369" t="s">
        <v>2226</v>
      </c>
      <c r="P36" s="369" t="s">
        <v>1871</v>
      </c>
      <c r="Q36" s="369"/>
    </row>
    <row r="37" ht="56.25" customHeight="1">
      <c r="A37" s="377" t="s">
        <v>2222</v>
      </c>
      <c r="B37" s="389" t="s">
        <v>2280</v>
      </c>
      <c r="C37" s="407"/>
      <c r="D37" s="376">
        <v>10.61</v>
      </c>
      <c r="E37" s="375" t="s">
        <v>2279</v>
      </c>
      <c r="F37" s="377">
        <v>28.39</v>
      </c>
      <c r="G37" s="377">
        <v>33.72</v>
      </c>
      <c r="H37" s="377">
        <v>40.82</v>
      </c>
      <c r="I37" s="377">
        <v>190.0</v>
      </c>
      <c r="J37" s="376" t="s">
        <v>2256</v>
      </c>
      <c r="K37" s="376">
        <v>11.7</v>
      </c>
      <c r="L37" s="376">
        <v>32.95</v>
      </c>
      <c r="M37" s="376">
        <v>124.0</v>
      </c>
      <c r="N37" s="376">
        <v>10.0</v>
      </c>
      <c r="O37" s="376" t="s">
        <v>2226</v>
      </c>
      <c r="P37" s="376" t="s">
        <v>2281</v>
      </c>
      <c r="Q37" s="376"/>
    </row>
    <row r="38">
      <c r="A38" s="413"/>
      <c r="B38" s="410"/>
      <c r="C38" s="411"/>
      <c r="D38" s="412"/>
      <c r="E38" s="410"/>
      <c r="F38" s="413"/>
      <c r="G38" s="413"/>
      <c r="H38" s="413"/>
      <c r="I38" s="413"/>
      <c r="J38" s="412"/>
      <c r="K38" s="412"/>
      <c r="L38" s="412"/>
      <c r="M38" s="412"/>
      <c r="N38" s="412"/>
      <c r="O38" s="412"/>
      <c r="P38" s="414"/>
      <c r="Q38" s="415"/>
    </row>
    <row r="39" ht="56.25" customHeight="1">
      <c r="A39" s="377" t="s">
        <v>2282</v>
      </c>
      <c r="B39" s="389" t="s">
        <v>2283</v>
      </c>
      <c r="C39" s="374"/>
      <c r="D39" s="376">
        <v>11.9</v>
      </c>
      <c r="E39" s="375" t="s">
        <v>2284</v>
      </c>
      <c r="F39" s="377">
        <v>8.22</v>
      </c>
      <c r="G39" s="377">
        <v>9.25</v>
      </c>
      <c r="H39" s="377">
        <v>11.3</v>
      </c>
      <c r="I39" s="377">
        <v>112.0</v>
      </c>
      <c r="J39" s="376" t="s">
        <v>2285</v>
      </c>
      <c r="K39" s="376">
        <v>0.65</v>
      </c>
      <c r="L39" s="376">
        <v>5.54</v>
      </c>
      <c r="M39" s="376">
        <v>70.0</v>
      </c>
      <c r="N39" s="376">
        <v>0.8</v>
      </c>
      <c r="O39" s="376" t="s">
        <v>2226</v>
      </c>
      <c r="P39" s="376"/>
      <c r="Q39" s="465"/>
    </row>
    <row r="40" ht="56.25" customHeight="1">
      <c r="A40" s="370" t="s">
        <v>2282</v>
      </c>
      <c r="B40" s="366" t="str">
        <f>HYPERLINK("https://azurlane.koumakan.jp/Blackburn_Skua#Type_3","Blackburn Skua")</f>
        <v>Blackburn Skua</v>
      </c>
      <c r="C40" s="374"/>
      <c r="D40" s="369">
        <v>11.77</v>
      </c>
      <c r="E40" s="368" t="s">
        <v>2284</v>
      </c>
      <c r="F40" s="370">
        <v>8.31</v>
      </c>
      <c r="G40" s="370">
        <v>9.35</v>
      </c>
      <c r="H40" s="370">
        <v>11.43</v>
      </c>
      <c r="I40" s="370">
        <v>156.0</v>
      </c>
      <c r="J40" s="369" t="s">
        <v>2286</v>
      </c>
      <c r="K40" s="369">
        <v>1.15</v>
      </c>
      <c r="L40" s="369">
        <v>9.34</v>
      </c>
      <c r="M40" s="369">
        <v>70.0</v>
      </c>
      <c r="N40" s="369">
        <v>1.0</v>
      </c>
      <c r="O40" s="369" t="s">
        <v>2224</v>
      </c>
      <c r="P40" s="383"/>
      <c r="Q40" s="416"/>
    </row>
    <row r="41" ht="56.25" customHeight="1">
      <c r="A41" s="377" t="s">
        <v>2282</v>
      </c>
      <c r="B41" s="373" t="str">
        <f>HYPERLINK("https://azurlane.koumakan.jp/Douglas_SBD_Dauntless#Type_3","SBD Dauntless")</f>
        <v>SBD Dauntless</v>
      </c>
      <c r="C41" s="374"/>
      <c r="D41" s="376">
        <v>12.64</v>
      </c>
      <c r="E41" s="375" t="s">
        <v>2287</v>
      </c>
      <c r="F41" s="377">
        <v>16.14</v>
      </c>
      <c r="G41" s="377">
        <v>20.92</v>
      </c>
      <c r="H41" s="377">
        <v>24.8</v>
      </c>
      <c r="I41" s="377">
        <v>156.0</v>
      </c>
      <c r="J41" s="376" t="s">
        <v>2288</v>
      </c>
      <c r="K41" s="376">
        <v>0.86</v>
      </c>
      <c r="L41" s="376">
        <v>5.9</v>
      </c>
      <c r="M41" s="376">
        <v>73.0</v>
      </c>
      <c r="N41" s="376">
        <v>1.0</v>
      </c>
      <c r="O41" s="376" t="s">
        <v>2224</v>
      </c>
      <c r="P41" s="376"/>
      <c r="Q41" s="465"/>
    </row>
    <row r="42" ht="56.25" customHeight="1">
      <c r="A42" s="370" t="s">
        <v>2282</v>
      </c>
      <c r="B42" s="366" t="str">
        <f>HYPERLINK("https://azurlane.koumakan.jp/Fairey_Fulmar#Type_3","Fairey Fulmar")</f>
        <v>Fairey Fulmar</v>
      </c>
      <c r="C42" s="394"/>
      <c r="D42" s="368">
        <v>9.18</v>
      </c>
      <c r="E42" s="368" t="s">
        <v>2243</v>
      </c>
      <c r="F42" s="392">
        <v>13.64</v>
      </c>
      <c r="G42" s="392">
        <v>14.49</v>
      </c>
      <c r="H42" s="392">
        <v>17.05</v>
      </c>
      <c r="I42" s="392">
        <v>200.0</v>
      </c>
      <c r="J42" s="368" t="s">
        <v>2289</v>
      </c>
      <c r="K42" s="369">
        <v>3.01</v>
      </c>
      <c r="L42" s="369">
        <v>24.02</v>
      </c>
      <c r="M42" s="368">
        <v>101.0</v>
      </c>
      <c r="N42" s="368">
        <v>1.0</v>
      </c>
      <c r="O42" s="369" t="s">
        <v>2224</v>
      </c>
      <c r="P42" s="416"/>
      <c r="Q42" s="466"/>
    </row>
    <row r="43" ht="56.25" customHeight="1">
      <c r="A43" s="377" t="s">
        <v>2282</v>
      </c>
      <c r="B43" s="373" t="str">
        <f>HYPERLINK("https://azurlane.koumakan.jp/Aichi_D3A_Type_99#Type_3","Aichi D3A Type 99")</f>
        <v>Aichi D3A Type 99</v>
      </c>
      <c r="C43" s="394"/>
      <c r="D43" s="376">
        <v>10.91</v>
      </c>
      <c r="E43" s="375" t="s">
        <v>2290</v>
      </c>
      <c r="F43" s="377">
        <v>23.43</v>
      </c>
      <c r="G43" s="377">
        <v>25.65</v>
      </c>
      <c r="H43" s="377">
        <v>30.79</v>
      </c>
      <c r="I43" s="377">
        <v>180.0</v>
      </c>
      <c r="J43" s="376" t="s">
        <v>2225</v>
      </c>
      <c r="K43" s="376">
        <v>1.08</v>
      </c>
      <c r="L43" s="376">
        <v>9.45</v>
      </c>
      <c r="M43" s="376">
        <v>96.0</v>
      </c>
      <c r="N43" s="376">
        <v>1.0</v>
      </c>
      <c r="O43" s="376" t="s">
        <v>2224</v>
      </c>
      <c r="P43" s="378"/>
      <c r="Q43" s="465"/>
    </row>
    <row r="44" ht="56.25" customHeight="1">
      <c r="A44" s="370" t="s">
        <v>2282</v>
      </c>
      <c r="B44" s="387" t="s">
        <v>2291</v>
      </c>
      <c r="C44" s="394"/>
      <c r="D44" s="369">
        <v>10.51</v>
      </c>
      <c r="E44" s="368" t="s">
        <v>2290</v>
      </c>
      <c r="F44" s="370">
        <v>24.32</v>
      </c>
      <c r="G44" s="370">
        <v>26.62</v>
      </c>
      <c r="H44" s="370">
        <v>31.95</v>
      </c>
      <c r="I44" s="370">
        <v>180.0</v>
      </c>
      <c r="J44" s="369" t="s">
        <v>2225</v>
      </c>
      <c r="K44" s="369">
        <v>1.12</v>
      </c>
      <c r="L44" s="369">
        <v>9.8</v>
      </c>
      <c r="M44" s="369">
        <v>96.0</v>
      </c>
      <c r="N44" s="369">
        <v>1.0</v>
      </c>
      <c r="O44" s="369" t="s">
        <v>2226</v>
      </c>
      <c r="P44" s="369" t="s">
        <v>1871</v>
      </c>
      <c r="Q44" s="466"/>
    </row>
    <row r="45" ht="56.25" customHeight="1">
      <c r="A45" s="471" t="s">
        <v>2282</v>
      </c>
      <c r="B45" s="373" t="str">
        <f>HYPERLINK("https://azurlane.koumakan.jp/Yokosuka_D4Y_Suisei#Type_2","D4Y Comet (Suisei)")</f>
        <v>D4Y Comet (Suisei)</v>
      </c>
      <c r="C45" s="403"/>
      <c r="D45" s="376">
        <v>10.71</v>
      </c>
      <c r="E45" s="398" t="s">
        <v>2292</v>
      </c>
      <c r="F45" s="377">
        <v>23.23</v>
      </c>
      <c r="G45" s="377">
        <v>26.24</v>
      </c>
      <c r="H45" s="377">
        <v>31.37</v>
      </c>
      <c r="I45" s="377">
        <v>208.0</v>
      </c>
      <c r="J45" s="395" t="s">
        <v>2293</v>
      </c>
      <c r="K45" s="376">
        <v>0.93</v>
      </c>
      <c r="L45" s="376">
        <v>7.08</v>
      </c>
      <c r="M45" s="376">
        <v>96.0</v>
      </c>
      <c r="N45" s="376">
        <v>0.9</v>
      </c>
      <c r="O45" s="376" t="s">
        <v>2237</v>
      </c>
      <c r="P45" s="395"/>
      <c r="Q45" s="457"/>
    </row>
    <row r="46" ht="56.25" customHeight="1">
      <c r="A46" s="467" t="s">
        <v>2282</v>
      </c>
      <c r="B46" s="405" t="str">
        <f>HYPERLINK("https://azurlane.koumakan.jp/Douglas_BTD-1_Destroyer#Type_2","BTD-1 Destroyer")</f>
        <v>BTD-1 Destroyer</v>
      </c>
      <c r="C46" s="403"/>
      <c r="D46" s="369">
        <v>12.02</v>
      </c>
      <c r="E46" s="400" t="s">
        <v>2294</v>
      </c>
      <c r="F46" s="370">
        <v>22.21</v>
      </c>
      <c r="G46" s="370">
        <v>29.61</v>
      </c>
      <c r="H46" s="370">
        <v>35.53</v>
      </c>
      <c r="I46" s="370">
        <v>206.0</v>
      </c>
      <c r="J46" s="401" t="s">
        <v>2295</v>
      </c>
      <c r="K46" s="369">
        <v>1.39</v>
      </c>
      <c r="L46" s="369">
        <v>7.13</v>
      </c>
      <c r="M46" s="369">
        <v>106.0</v>
      </c>
      <c r="N46" s="369">
        <v>1.8</v>
      </c>
      <c r="O46" s="369" t="s">
        <v>2237</v>
      </c>
      <c r="P46" s="459"/>
      <c r="Q46" s="459"/>
    </row>
    <row r="47" ht="56.25" customHeight="1">
      <c r="A47" s="377" t="s">
        <v>2282</v>
      </c>
      <c r="B47" s="373" t="str">
        <f>HYPERLINK("https://azurlane.koumakan.jp/Junkers_Ju-87C#Type_3","Junkers Ju-87C")</f>
        <v>Junkers Ju-87C</v>
      </c>
      <c r="C47" s="394"/>
      <c r="D47" s="376">
        <v>11.57</v>
      </c>
      <c r="E47" s="375" t="s">
        <v>2296</v>
      </c>
      <c r="F47" s="377">
        <v>34.25</v>
      </c>
      <c r="G47" s="377">
        <v>37.96</v>
      </c>
      <c r="H47" s="377">
        <v>45.17</v>
      </c>
      <c r="I47" s="377">
        <v>112.0</v>
      </c>
      <c r="J47" s="376" t="s">
        <v>2297</v>
      </c>
      <c r="K47" s="376">
        <v>1.13</v>
      </c>
      <c r="L47" s="376">
        <v>10.14</v>
      </c>
      <c r="M47" s="376">
        <v>101.0</v>
      </c>
      <c r="N47" s="376">
        <v>1.0</v>
      </c>
      <c r="O47" s="376" t="s">
        <v>2224</v>
      </c>
      <c r="P47" s="378"/>
      <c r="Q47" s="375"/>
    </row>
    <row r="48" ht="56.25" customHeight="1">
      <c r="A48" s="370" t="s">
        <v>2282</v>
      </c>
      <c r="B48" s="366" t="str">
        <f>HYPERLINK("https://azurlane.koumakan.jp/Curtiss_SB2C_Helldiver#Type_3","SB2C Helldiver")</f>
        <v>SB2C Helldiver</v>
      </c>
      <c r="C48" s="394"/>
      <c r="D48" s="369">
        <v>11.88</v>
      </c>
      <c r="E48" s="368" t="s">
        <v>2298</v>
      </c>
      <c r="F48" s="370">
        <v>34.12</v>
      </c>
      <c r="G48" s="370">
        <v>42.95</v>
      </c>
      <c r="H48" s="370">
        <v>51.91</v>
      </c>
      <c r="I48" s="370">
        <v>180.0</v>
      </c>
      <c r="J48" s="369" t="s">
        <v>2288</v>
      </c>
      <c r="K48" s="369">
        <v>1.22</v>
      </c>
      <c r="L48" s="369">
        <v>9.18</v>
      </c>
      <c r="M48" s="369">
        <v>106.0</v>
      </c>
      <c r="N48" s="369">
        <v>1.0</v>
      </c>
      <c r="O48" s="369" t="s">
        <v>2224</v>
      </c>
      <c r="P48" s="380"/>
      <c r="Q48" s="368"/>
    </row>
    <row r="49" ht="56.25" customHeight="1">
      <c r="A49" s="377" t="s">
        <v>2282</v>
      </c>
      <c r="B49" s="373" t="str">
        <f>HYPERLINK("https://azurlane.koumakan.jp/Fairey_Barracuda_(831_Squadron)#Type_0","Barracuda (831 Squadron)")</f>
        <v>Barracuda (831 Squadron)</v>
      </c>
      <c r="C49" s="407"/>
      <c r="D49" s="375">
        <v>10.38</v>
      </c>
      <c r="E49" s="375" t="s">
        <v>2299</v>
      </c>
      <c r="F49" s="419">
        <v>14.96</v>
      </c>
      <c r="G49" s="419">
        <v>20.57</v>
      </c>
      <c r="H49" s="419">
        <v>24.32</v>
      </c>
      <c r="I49" s="419">
        <v>480.0</v>
      </c>
      <c r="J49" s="376" t="s">
        <v>2293</v>
      </c>
      <c r="K49" s="376">
        <v>1.13</v>
      </c>
      <c r="L49" s="376">
        <v>8.06</v>
      </c>
      <c r="M49" s="375">
        <v>95.0</v>
      </c>
      <c r="N49" s="375">
        <v>6.0</v>
      </c>
      <c r="O49" s="375" t="s">
        <v>2226</v>
      </c>
      <c r="P49" s="375" t="s">
        <v>2025</v>
      </c>
      <c r="Q49" s="375" t="s">
        <v>2300</v>
      </c>
    </row>
    <row r="50" ht="56.25" customHeight="1">
      <c r="A50" s="370" t="s">
        <v>2282</v>
      </c>
      <c r="B50" s="366" t="str">
        <f>HYPERLINK("https://azurlane.koumakan.jp/Douglas_SBD_Dauntless_(McClusky)#Type_0","SBD Dauntless (McClusky)")</f>
        <v>SBD Dauntless (McClusky)</v>
      </c>
      <c r="C50" s="407"/>
      <c r="D50" s="368">
        <v>11.71</v>
      </c>
      <c r="E50" s="368" t="s">
        <v>2287</v>
      </c>
      <c r="F50" s="392">
        <v>24.44</v>
      </c>
      <c r="G50" s="392">
        <v>31.65</v>
      </c>
      <c r="H50" s="392">
        <v>37.51</v>
      </c>
      <c r="I50" s="392">
        <v>193.0</v>
      </c>
      <c r="J50" s="368" t="s">
        <v>551</v>
      </c>
      <c r="K50" s="369">
        <v>0.0</v>
      </c>
      <c r="L50" s="369">
        <v>0.0</v>
      </c>
      <c r="M50" s="368">
        <v>115.0</v>
      </c>
      <c r="N50" s="368">
        <v>2.0</v>
      </c>
      <c r="O50" s="368" t="s">
        <v>2226</v>
      </c>
      <c r="P50" s="368" t="s">
        <v>2025</v>
      </c>
      <c r="Q50" s="368" t="s">
        <v>2301</v>
      </c>
    </row>
    <row r="51" ht="56.25" customHeight="1">
      <c r="A51" s="377" t="s">
        <v>2282</v>
      </c>
      <c r="B51" s="373" t="str">
        <f>HYPERLINK("https://azurlane.koumakan.jp/Douglas_BTD-1_Destroyer#Type_3","BTD-1 Destroyer")</f>
        <v>BTD-1 Destroyer</v>
      </c>
      <c r="C51" s="407"/>
      <c r="D51" s="376">
        <v>11.71</v>
      </c>
      <c r="E51" s="375" t="s">
        <v>2294</v>
      </c>
      <c r="F51" s="377">
        <v>24.88</v>
      </c>
      <c r="G51" s="377">
        <v>33.18</v>
      </c>
      <c r="H51" s="377">
        <v>39.81</v>
      </c>
      <c r="I51" s="377">
        <v>206.0</v>
      </c>
      <c r="J51" s="376" t="s">
        <v>2295</v>
      </c>
      <c r="K51" s="376">
        <v>1.55</v>
      </c>
      <c r="L51" s="376">
        <v>8.28</v>
      </c>
      <c r="M51" s="376">
        <v>115.0</v>
      </c>
      <c r="N51" s="376">
        <v>2.0</v>
      </c>
      <c r="O51" s="376" t="s">
        <v>2224</v>
      </c>
      <c r="P51" s="378"/>
      <c r="Q51" s="417"/>
    </row>
    <row r="52" ht="56.25" customHeight="1">
      <c r="A52" s="370" t="s">
        <v>2282</v>
      </c>
      <c r="B52" s="366" t="str">
        <f>HYPERLINK("https://azurlane.koumakan.jp/Yokosuka_D4Y_Suisei#Type_3","D4Y Comet (Suisei)")</f>
        <v>D4Y Comet (Suisei)</v>
      </c>
      <c r="C52" s="407"/>
      <c r="D52" s="369">
        <v>10.44</v>
      </c>
      <c r="E52" s="368" t="s">
        <v>2292</v>
      </c>
      <c r="F52" s="370">
        <v>25.94</v>
      </c>
      <c r="G52" s="370">
        <v>29.3</v>
      </c>
      <c r="H52" s="370">
        <v>35.04</v>
      </c>
      <c r="I52" s="370">
        <v>208.0</v>
      </c>
      <c r="J52" s="369" t="s">
        <v>2225</v>
      </c>
      <c r="K52" s="369">
        <v>1.13</v>
      </c>
      <c r="L52" s="369">
        <v>9.01</v>
      </c>
      <c r="M52" s="369">
        <v>104.0</v>
      </c>
      <c r="N52" s="369">
        <v>1.0</v>
      </c>
      <c r="O52" s="369" t="s">
        <v>2224</v>
      </c>
      <c r="P52" s="369"/>
      <c r="Q52" s="368"/>
    </row>
    <row r="53" ht="56.25" customHeight="1">
      <c r="A53" s="377" t="s">
        <v>2282</v>
      </c>
      <c r="B53" s="389" t="s">
        <v>2302</v>
      </c>
      <c r="C53" s="407"/>
      <c r="D53" s="376">
        <v>9.98</v>
      </c>
      <c r="E53" s="375" t="s">
        <v>2292</v>
      </c>
      <c r="F53" s="377">
        <v>28.51</v>
      </c>
      <c r="G53" s="377">
        <v>32.18</v>
      </c>
      <c r="H53" s="377">
        <v>38.47</v>
      </c>
      <c r="I53" s="377">
        <v>208.0</v>
      </c>
      <c r="J53" s="376" t="s">
        <v>2225</v>
      </c>
      <c r="K53" s="376">
        <v>1.18</v>
      </c>
      <c r="L53" s="376">
        <v>9.42</v>
      </c>
      <c r="M53" s="376">
        <v>104.0</v>
      </c>
      <c r="N53" s="376">
        <v>1.0</v>
      </c>
      <c r="O53" s="376" t="s">
        <v>2226</v>
      </c>
      <c r="P53" s="376" t="s">
        <v>1871</v>
      </c>
      <c r="Q53" s="375"/>
    </row>
    <row r="54" ht="56.25" customHeight="1">
      <c r="A54" s="370" t="s">
        <v>2282</v>
      </c>
      <c r="B54" s="366" t="str">
        <f>HYPERLINK("https://azurlane.koumakan.jp/Fairey_Firefly#Type_0","Fairey Firefly")</f>
        <v>Fairey Firefly</v>
      </c>
      <c r="C54" s="407"/>
      <c r="D54" s="369">
        <v>11.11</v>
      </c>
      <c r="E54" s="368" t="s">
        <v>2279</v>
      </c>
      <c r="F54" s="370">
        <v>26.21</v>
      </c>
      <c r="G54" s="370">
        <v>31.12</v>
      </c>
      <c r="H54" s="370">
        <v>37.67</v>
      </c>
      <c r="I54" s="370">
        <v>210.0</v>
      </c>
      <c r="J54" s="369" t="s">
        <v>2256</v>
      </c>
      <c r="K54" s="369">
        <v>3.5</v>
      </c>
      <c r="L54" s="369">
        <v>13.82</v>
      </c>
      <c r="M54" s="369">
        <v>110.0</v>
      </c>
      <c r="N54" s="369">
        <v>7.0</v>
      </c>
      <c r="O54" s="369" t="s">
        <v>2226</v>
      </c>
      <c r="P54" s="368" t="s">
        <v>2025</v>
      </c>
      <c r="Q54" s="368"/>
    </row>
    <row r="55" ht="56.25" customHeight="1">
      <c r="A55" s="377" t="s">
        <v>2282</v>
      </c>
      <c r="B55" s="389" t="s">
        <v>2303</v>
      </c>
      <c r="C55" s="407"/>
      <c r="D55" s="376">
        <v>11.91</v>
      </c>
      <c r="E55" s="375" t="s">
        <v>2298</v>
      </c>
      <c r="F55" s="377">
        <v>34.04</v>
      </c>
      <c r="G55" s="377">
        <v>42.84</v>
      </c>
      <c r="H55" s="377">
        <v>51.78</v>
      </c>
      <c r="I55" s="377">
        <v>200.0</v>
      </c>
      <c r="J55" s="376" t="s">
        <v>2256</v>
      </c>
      <c r="K55" s="376">
        <v>3.04</v>
      </c>
      <c r="L55" s="376">
        <v>12.12</v>
      </c>
      <c r="M55" s="376">
        <v>125.0</v>
      </c>
      <c r="N55" s="376">
        <v>1.5</v>
      </c>
      <c r="O55" s="376" t="s">
        <v>2226</v>
      </c>
      <c r="P55" s="376" t="s">
        <v>1871</v>
      </c>
      <c r="Q55" s="417"/>
    </row>
    <row r="56" ht="56.25" customHeight="1">
      <c r="A56" s="370" t="s">
        <v>2282</v>
      </c>
      <c r="B56" s="387" t="s">
        <v>2304</v>
      </c>
      <c r="C56" s="473"/>
      <c r="D56" s="369">
        <v>12.0</v>
      </c>
      <c r="E56" s="368" t="s">
        <v>2305</v>
      </c>
      <c r="F56" s="370">
        <v>39.12</v>
      </c>
      <c r="G56" s="370">
        <v>53.8</v>
      </c>
      <c r="H56" s="370">
        <v>63.58</v>
      </c>
      <c r="I56" s="370">
        <v>208.0</v>
      </c>
      <c r="J56" s="369" t="s">
        <v>2306</v>
      </c>
      <c r="K56" s="369">
        <v>4.26</v>
      </c>
      <c r="L56" s="369">
        <v>13.53</v>
      </c>
      <c r="M56" s="369">
        <v>120.0</v>
      </c>
      <c r="N56" s="369">
        <v>1.1</v>
      </c>
      <c r="O56" s="369" t="s">
        <v>2226</v>
      </c>
      <c r="P56" s="369" t="s">
        <v>2050</v>
      </c>
      <c r="Q56" s="416"/>
    </row>
    <row r="57">
      <c r="A57" s="413"/>
      <c r="B57" s="410"/>
      <c r="C57" s="411"/>
      <c r="D57" s="412"/>
      <c r="E57" s="410"/>
      <c r="F57" s="413"/>
      <c r="G57" s="413"/>
      <c r="H57" s="413"/>
      <c r="I57" s="413"/>
      <c r="J57" s="412"/>
      <c r="K57" s="412"/>
      <c r="L57" s="412"/>
      <c r="M57" s="412"/>
      <c r="N57" s="412"/>
      <c r="O57" s="412"/>
      <c r="P57" s="414"/>
      <c r="Q57" s="415"/>
    </row>
    <row r="58" ht="56.25" customHeight="1">
      <c r="A58" s="370" t="s">
        <v>2307</v>
      </c>
      <c r="B58" s="387" t="s">
        <v>2308</v>
      </c>
      <c r="C58" s="374"/>
      <c r="D58" s="369">
        <v>13.33</v>
      </c>
      <c r="E58" s="368" t="s">
        <v>2309</v>
      </c>
      <c r="F58" s="370">
        <v>8.92</v>
      </c>
      <c r="G58" s="370">
        <v>12.26</v>
      </c>
      <c r="H58" s="370">
        <v>14.49</v>
      </c>
      <c r="I58" s="370">
        <v>148.0</v>
      </c>
      <c r="J58" s="369" t="s">
        <v>2225</v>
      </c>
      <c r="K58" s="369">
        <v>0.61</v>
      </c>
      <c r="L58" s="369">
        <v>4.52</v>
      </c>
      <c r="M58" s="369">
        <v>57.0</v>
      </c>
      <c r="N58" s="369">
        <v>4.0</v>
      </c>
      <c r="O58" s="369" t="s">
        <v>2224</v>
      </c>
      <c r="P58" s="369"/>
      <c r="Q58" s="416"/>
    </row>
    <row r="59" ht="56.25" customHeight="1">
      <c r="A59" s="377" t="s">
        <v>2307</v>
      </c>
      <c r="B59" s="389" t="s">
        <v>2310</v>
      </c>
      <c r="C59" s="374"/>
      <c r="D59" s="376">
        <v>14.23</v>
      </c>
      <c r="E59" s="375" t="s">
        <v>2311</v>
      </c>
      <c r="F59" s="377">
        <v>7.39</v>
      </c>
      <c r="G59" s="377">
        <v>10.16</v>
      </c>
      <c r="H59" s="377">
        <v>12.0</v>
      </c>
      <c r="I59" s="377">
        <v>141.0</v>
      </c>
      <c r="J59" s="376" t="s">
        <v>2285</v>
      </c>
      <c r="K59" s="376">
        <v>0.54</v>
      </c>
      <c r="L59" s="376">
        <v>4.63</v>
      </c>
      <c r="M59" s="376">
        <v>60.0</v>
      </c>
      <c r="N59" s="376">
        <v>3.0</v>
      </c>
      <c r="O59" s="376" t="s">
        <v>2226</v>
      </c>
      <c r="P59" s="376"/>
      <c r="Q59" s="375" t="s">
        <v>2312</v>
      </c>
    </row>
    <row r="60" ht="56.25" customHeight="1">
      <c r="A60" s="370" t="s">
        <v>2307</v>
      </c>
      <c r="B60" s="387" t="s">
        <v>2313</v>
      </c>
      <c r="C60" s="374"/>
      <c r="D60" s="369">
        <v>12.38</v>
      </c>
      <c r="E60" s="368" t="s">
        <v>2309</v>
      </c>
      <c r="F60" s="370">
        <v>9.6</v>
      </c>
      <c r="G60" s="370">
        <v>13.2</v>
      </c>
      <c r="H60" s="370">
        <v>15.6</v>
      </c>
      <c r="I60" s="370">
        <v>148.0</v>
      </c>
      <c r="J60" s="369" t="s">
        <v>2225</v>
      </c>
      <c r="K60" s="369">
        <v>0.66</v>
      </c>
      <c r="L60" s="369">
        <v>4.86</v>
      </c>
      <c r="M60" s="369">
        <v>57.0</v>
      </c>
      <c r="N60" s="369">
        <v>4.0</v>
      </c>
      <c r="O60" s="369" t="s">
        <v>2226</v>
      </c>
      <c r="P60" s="369"/>
      <c r="Q60" s="416"/>
    </row>
    <row r="61" ht="56.25" customHeight="1">
      <c r="A61" s="377" t="s">
        <v>2307</v>
      </c>
      <c r="B61" s="373" t="str">
        <f>HYPERLINK("https://azurlane.koumakan.jp/Levasseur_PL.7#Type_0","Levasseur PL.7")</f>
        <v>Levasseur PL.7</v>
      </c>
      <c r="C61" s="374"/>
      <c r="D61" s="376">
        <v>14.7</v>
      </c>
      <c r="E61" s="375" t="s">
        <v>2314</v>
      </c>
      <c r="F61" s="377">
        <v>10.65</v>
      </c>
      <c r="G61" s="377">
        <v>14.65</v>
      </c>
      <c r="H61" s="377">
        <v>17.31</v>
      </c>
      <c r="I61" s="377">
        <v>286.0</v>
      </c>
      <c r="J61" s="376" t="s">
        <v>2293</v>
      </c>
      <c r="K61" s="376">
        <v>0.52</v>
      </c>
      <c r="L61" s="376">
        <v>5.02</v>
      </c>
      <c r="M61" s="376">
        <v>66.0</v>
      </c>
      <c r="N61" s="376">
        <v>3.5</v>
      </c>
      <c r="O61" s="376" t="s">
        <v>2226</v>
      </c>
      <c r="P61" s="376" t="s">
        <v>2227</v>
      </c>
      <c r="Q61" s="417"/>
    </row>
    <row r="62" ht="56.25" customHeight="1">
      <c r="A62" s="370" t="s">
        <v>2307</v>
      </c>
      <c r="B62" s="366" t="str">
        <f>HYPERLINK("https://azurlane.koumakan.jp/Douglas_TBD_Devastator#Type_3","TBD Devastator")</f>
        <v>TBD Devastator</v>
      </c>
      <c r="C62" s="374"/>
      <c r="D62" s="369">
        <v>14.1</v>
      </c>
      <c r="E62" s="368" t="s">
        <v>2315</v>
      </c>
      <c r="F62" s="370">
        <v>11.11</v>
      </c>
      <c r="G62" s="370">
        <v>15.27</v>
      </c>
      <c r="H62" s="370">
        <v>18.05</v>
      </c>
      <c r="I62" s="370">
        <v>300.0</v>
      </c>
      <c r="J62" s="369" t="s">
        <v>2293</v>
      </c>
      <c r="K62" s="369">
        <v>0.58</v>
      </c>
      <c r="L62" s="369">
        <v>4.27</v>
      </c>
      <c r="M62" s="369">
        <v>63.0</v>
      </c>
      <c r="N62" s="369">
        <v>4.0</v>
      </c>
      <c r="O62" s="369" t="s">
        <v>2224</v>
      </c>
      <c r="P62" s="369"/>
      <c r="Q62" s="416"/>
    </row>
    <row r="63" ht="56.25" customHeight="1">
      <c r="A63" s="377" t="s">
        <v>2307</v>
      </c>
      <c r="B63" s="373" t="str">
        <f>HYPERLINK("https://azurlane.koumakan.jp/Fairey_Swordfish#Type_3","Fairey Swordfish")</f>
        <v>Fairey Swordfish</v>
      </c>
      <c r="C63" s="394"/>
      <c r="D63" s="376">
        <v>11.97</v>
      </c>
      <c r="E63" s="375" t="s">
        <v>2315</v>
      </c>
      <c r="F63" s="377">
        <v>17.43</v>
      </c>
      <c r="G63" s="377">
        <v>23.97</v>
      </c>
      <c r="H63" s="377">
        <v>28.33</v>
      </c>
      <c r="I63" s="377">
        <v>306.0</v>
      </c>
      <c r="J63" s="376" t="s">
        <v>2293</v>
      </c>
      <c r="K63" s="376">
        <v>0.98</v>
      </c>
      <c r="L63" s="376">
        <v>8.61</v>
      </c>
      <c r="M63" s="376">
        <v>87.0</v>
      </c>
      <c r="N63" s="376">
        <v>4.0</v>
      </c>
      <c r="O63" s="376" t="s">
        <v>2224</v>
      </c>
      <c r="P63" s="376"/>
      <c r="Q63" s="417"/>
    </row>
    <row r="64" ht="56.25" customHeight="1">
      <c r="A64" s="370" t="s">
        <v>2307</v>
      </c>
      <c r="B64" s="399" t="s">
        <v>2316</v>
      </c>
      <c r="C64" s="403"/>
      <c r="D64" s="474">
        <v>11.17</v>
      </c>
      <c r="E64" s="368" t="s">
        <v>2311</v>
      </c>
      <c r="F64" s="475">
        <v>15.24</v>
      </c>
      <c r="G64" s="475">
        <v>20.95</v>
      </c>
      <c r="H64" s="475">
        <v>24.76</v>
      </c>
      <c r="I64" s="475">
        <v>152.0</v>
      </c>
      <c r="J64" s="369" t="s">
        <v>2285</v>
      </c>
      <c r="K64" s="474">
        <v>0.89</v>
      </c>
      <c r="L64" s="474">
        <v>8.91</v>
      </c>
      <c r="M64" s="474">
        <v>87.0</v>
      </c>
      <c r="N64" s="474">
        <v>1.0</v>
      </c>
      <c r="O64" s="474" t="s">
        <v>2226</v>
      </c>
      <c r="P64" s="476"/>
      <c r="Q64" s="477"/>
    </row>
    <row r="65" ht="56.25" customHeight="1">
      <c r="A65" s="471" t="s">
        <v>2307</v>
      </c>
      <c r="B65" s="478" t="str">
        <f>HYPERLINK("https://azurlane.koumakan.jp/Fairey_Albacore#Type_3","Albacore")</f>
        <v>Albacore</v>
      </c>
      <c r="C65" s="403"/>
      <c r="D65" s="479">
        <v>9.98</v>
      </c>
      <c r="E65" s="480" t="s">
        <v>2315</v>
      </c>
      <c r="F65" s="481">
        <v>20.89</v>
      </c>
      <c r="G65" s="481">
        <v>28.73</v>
      </c>
      <c r="H65" s="481">
        <v>33.95</v>
      </c>
      <c r="I65" s="481">
        <v>306.0</v>
      </c>
      <c r="J65" s="482" t="s">
        <v>2293</v>
      </c>
      <c r="K65" s="479">
        <v>1.18</v>
      </c>
      <c r="L65" s="479">
        <v>10.32</v>
      </c>
      <c r="M65" s="479">
        <v>87.0</v>
      </c>
      <c r="N65" s="479">
        <v>4.0</v>
      </c>
      <c r="O65" s="479" t="s">
        <v>2224</v>
      </c>
      <c r="P65" s="482"/>
      <c r="Q65" s="480"/>
    </row>
    <row r="66" ht="56.25" customHeight="1">
      <c r="A66" s="370" t="s">
        <v>2307</v>
      </c>
      <c r="B66" s="366" t="str">
        <f>HYPERLINK("https://azurlane.koumakan.jp/Grumman_TBF_Avenger#Type_3","TBF Avenger")</f>
        <v>TBF Avenger</v>
      </c>
      <c r="C66" s="394"/>
      <c r="D66" s="369">
        <v>14.57</v>
      </c>
      <c r="E66" s="368" t="s">
        <v>2317</v>
      </c>
      <c r="F66" s="370">
        <v>21.5</v>
      </c>
      <c r="G66" s="370">
        <v>29.56</v>
      </c>
      <c r="H66" s="370">
        <v>34.93</v>
      </c>
      <c r="I66" s="370">
        <v>406.0</v>
      </c>
      <c r="J66" s="369" t="s">
        <v>2293</v>
      </c>
      <c r="K66" s="369">
        <v>0.81</v>
      </c>
      <c r="L66" s="369">
        <v>6.46</v>
      </c>
      <c r="M66" s="369">
        <v>91.0</v>
      </c>
      <c r="N66" s="369">
        <v>5.0</v>
      </c>
      <c r="O66" s="369" t="s">
        <v>2224</v>
      </c>
      <c r="P66" s="383"/>
      <c r="Q66" s="368"/>
    </row>
    <row r="67" ht="56.25" customHeight="1">
      <c r="A67" s="471" t="s">
        <v>2307</v>
      </c>
      <c r="B67" s="396" t="str">
        <f>HYPERLINK("https://azurlane.koumakan.jp/Aichi_B7A_Ryuusei#Type_2","Aichi B7A Ryuusei")</f>
        <v>Aichi B7A Ryuusei</v>
      </c>
      <c r="C67" s="403"/>
      <c r="D67" s="376">
        <v>11.77</v>
      </c>
      <c r="E67" s="398" t="s">
        <v>2318</v>
      </c>
      <c r="F67" s="377">
        <v>22.16</v>
      </c>
      <c r="G67" s="377">
        <v>30.47</v>
      </c>
      <c r="H67" s="377">
        <v>36.01</v>
      </c>
      <c r="I67" s="377">
        <v>188.0</v>
      </c>
      <c r="J67" s="376" t="s">
        <v>2319</v>
      </c>
      <c r="K67" s="376">
        <v>2.04</v>
      </c>
      <c r="L67" s="376">
        <v>9.59</v>
      </c>
      <c r="M67" s="376">
        <v>83.0</v>
      </c>
      <c r="N67" s="376">
        <v>4.5</v>
      </c>
      <c r="O67" s="376" t="s">
        <v>2237</v>
      </c>
      <c r="P67" s="376"/>
      <c r="Q67" s="465"/>
    </row>
    <row r="68" ht="56.25" customHeight="1">
      <c r="A68" s="370" t="s">
        <v>2307</v>
      </c>
      <c r="B68" s="366" t="str">
        <f>HYPERLINK("https://azurlane.koumakan.jp/Nakajima_B6N_Tenzan#Type_3","Nakajima B6N Tenzan (Saiun)")</f>
        <v>Nakajima B6N Tenzan (Saiun)</v>
      </c>
      <c r="C68" s="394"/>
      <c r="D68" s="369">
        <v>11.63</v>
      </c>
      <c r="E68" s="368" t="s">
        <v>2318</v>
      </c>
      <c r="F68" s="370">
        <v>22.42</v>
      </c>
      <c r="G68" s="370">
        <v>30.83</v>
      </c>
      <c r="H68" s="370">
        <v>36.44</v>
      </c>
      <c r="I68" s="370">
        <v>168.0</v>
      </c>
      <c r="J68" s="369" t="s">
        <v>2293</v>
      </c>
      <c r="K68" s="369">
        <v>1.01</v>
      </c>
      <c r="L68" s="369">
        <v>8.09</v>
      </c>
      <c r="M68" s="369">
        <v>83.0</v>
      </c>
      <c r="N68" s="369">
        <v>5.0</v>
      </c>
      <c r="O68" s="369" t="s">
        <v>2224</v>
      </c>
      <c r="P68" s="383"/>
      <c r="Q68" s="466"/>
    </row>
    <row r="69" ht="56.25" customHeight="1">
      <c r="A69" s="377" t="s">
        <v>2307</v>
      </c>
      <c r="B69" s="389" t="s">
        <v>2320</v>
      </c>
      <c r="C69" s="394"/>
      <c r="D69" s="479">
        <v>11.4</v>
      </c>
      <c r="E69" s="375" t="s">
        <v>2318</v>
      </c>
      <c r="F69" s="481">
        <v>24.78</v>
      </c>
      <c r="G69" s="481">
        <v>34.07</v>
      </c>
      <c r="H69" s="481">
        <v>40.27</v>
      </c>
      <c r="I69" s="481">
        <v>168.0</v>
      </c>
      <c r="J69" s="376" t="s">
        <v>2321</v>
      </c>
      <c r="K69" s="479">
        <v>1.35</v>
      </c>
      <c r="L69" s="479">
        <v>11.4</v>
      </c>
      <c r="M69" s="479">
        <v>83.0</v>
      </c>
      <c r="N69" s="479">
        <v>6.0</v>
      </c>
      <c r="O69" s="479" t="s">
        <v>2226</v>
      </c>
      <c r="P69" s="376" t="s">
        <v>1871</v>
      </c>
      <c r="Q69" s="483"/>
    </row>
    <row r="70" ht="56.25" customHeight="1">
      <c r="A70" s="467" t="s">
        <v>2307</v>
      </c>
      <c r="B70" s="484" t="str">
        <f>HYPERLINK("https://azurlane.koumakan.jp/Fairey_Barracuda#Type_2","Barracuda")</f>
        <v>Barracuda</v>
      </c>
      <c r="C70" s="403"/>
      <c r="D70" s="474">
        <v>10.64</v>
      </c>
      <c r="E70" s="485" t="s">
        <v>2317</v>
      </c>
      <c r="F70" s="475">
        <v>26.14</v>
      </c>
      <c r="G70" s="475">
        <v>35.94</v>
      </c>
      <c r="H70" s="475">
        <v>42.47</v>
      </c>
      <c r="I70" s="475">
        <v>480.0</v>
      </c>
      <c r="J70" s="476" t="s">
        <v>2293</v>
      </c>
      <c r="K70" s="474">
        <v>0.94</v>
      </c>
      <c r="L70" s="474">
        <v>6.35</v>
      </c>
      <c r="M70" s="474">
        <v>87.0</v>
      </c>
      <c r="N70" s="474">
        <v>5.5</v>
      </c>
      <c r="O70" s="474" t="s">
        <v>2237</v>
      </c>
      <c r="P70" s="476"/>
      <c r="Q70" s="477"/>
    </row>
    <row r="71" ht="56.25" customHeight="1">
      <c r="A71" s="481" t="s">
        <v>2307</v>
      </c>
      <c r="B71" s="373" t="str">
        <f>HYPERLINK("https://azurlane.koumakan.jp/Torpedo_Squadron_8_(VT-8)#Type_0","TBF Devastator (VT-8)")</f>
        <v>TBF Devastator (VT-8)</v>
      </c>
      <c r="C71" s="486"/>
      <c r="D71" s="479">
        <v>12.04</v>
      </c>
      <c r="E71" s="480" t="s">
        <v>2315</v>
      </c>
      <c r="F71" s="481">
        <v>17.81</v>
      </c>
      <c r="G71" s="481">
        <v>24.49</v>
      </c>
      <c r="H71" s="481">
        <v>28.95</v>
      </c>
      <c r="I71" s="481">
        <v>300.0</v>
      </c>
      <c r="J71" s="479" t="s">
        <v>2322</v>
      </c>
      <c r="K71" s="479">
        <v>1.28</v>
      </c>
      <c r="L71" s="479">
        <v>10.22</v>
      </c>
      <c r="M71" s="479">
        <v>95.0</v>
      </c>
      <c r="N71" s="479">
        <v>5.0</v>
      </c>
      <c r="O71" s="479" t="s">
        <v>2226</v>
      </c>
      <c r="P71" s="479" t="s">
        <v>2323</v>
      </c>
      <c r="Q71" s="480" t="s">
        <v>2324</v>
      </c>
    </row>
    <row r="72" ht="56.25" customHeight="1">
      <c r="A72" s="487"/>
      <c r="B72" s="366" t="str">
        <f>HYPERLINK("https://azurlane.koumakan.jp/Torpedo_Squadron_8_(VT-8)#Type_2","TBF Avenger (VT-8)")</f>
        <v>TBF Avenger (VT-8)</v>
      </c>
      <c r="C72" s="487"/>
      <c r="D72" s="487"/>
      <c r="E72" s="488" t="s">
        <v>2317</v>
      </c>
      <c r="F72" s="489">
        <v>30.87</v>
      </c>
      <c r="G72" s="489">
        <v>42.45</v>
      </c>
      <c r="H72" s="489">
        <v>50.17</v>
      </c>
      <c r="I72" s="487"/>
      <c r="J72" s="490" t="s">
        <v>2293</v>
      </c>
      <c r="K72" s="490">
        <v>0.98</v>
      </c>
      <c r="L72" s="490">
        <v>7.82</v>
      </c>
      <c r="M72" s="487"/>
      <c r="N72" s="490">
        <v>6.0</v>
      </c>
      <c r="O72" s="487"/>
      <c r="P72" s="487"/>
      <c r="Q72" s="487"/>
    </row>
    <row r="73" ht="56.25" customHeight="1">
      <c r="A73" s="377" t="s">
        <v>2307</v>
      </c>
      <c r="B73" s="373" t="str">
        <f>HYPERLINK("https://azurlane.koumakan.jp/Aichi_B7A_Ryuusei#Type_3","Aichi B7A Ryuusei")</f>
        <v>Aichi B7A Ryuusei</v>
      </c>
      <c r="C73" s="407"/>
      <c r="D73" s="386">
        <v>11.37</v>
      </c>
      <c r="E73" s="491" t="s">
        <v>2318</v>
      </c>
      <c r="F73" s="492">
        <v>24.85</v>
      </c>
      <c r="G73" s="492">
        <v>34.16</v>
      </c>
      <c r="H73" s="492">
        <v>40.38</v>
      </c>
      <c r="I73" s="492">
        <v>188.0</v>
      </c>
      <c r="J73" s="386" t="s">
        <v>2325</v>
      </c>
      <c r="K73" s="386">
        <v>2.31</v>
      </c>
      <c r="L73" s="386">
        <v>11.37</v>
      </c>
      <c r="M73" s="386">
        <v>90.0</v>
      </c>
      <c r="N73" s="386">
        <v>5.0</v>
      </c>
      <c r="O73" s="386" t="s">
        <v>2224</v>
      </c>
      <c r="P73" s="386"/>
      <c r="Q73" s="493" t="s">
        <v>2268</v>
      </c>
    </row>
    <row r="74" ht="56.25" customHeight="1">
      <c r="A74" s="370" t="s">
        <v>2307</v>
      </c>
      <c r="B74" s="387" t="s">
        <v>2326</v>
      </c>
      <c r="C74" s="407"/>
      <c r="D74" s="490">
        <v>11.17</v>
      </c>
      <c r="E74" s="488" t="s">
        <v>2327</v>
      </c>
      <c r="F74" s="489">
        <v>24.71</v>
      </c>
      <c r="G74" s="489">
        <v>33.97</v>
      </c>
      <c r="H74" s="489">
        <v>40.15</v>
      </c>
      <c r="I74" s="489">
        <v>168.0</v>
      </c>
      <c r="J74" s="490" t="s">
        <v>2328</v>
      </c>
      <c r="K74" s="490">
        <v>1.18</v>
      </c>
      <c r="L74" s="490">
        <v>9.05</v>
      </c>
      <c r="M74" s="490">
        <v>95.0</v>
      </c>
      <c r="N74" s="490">
        <v>5.0</v>
      </c>
      <c r="O74" s="490" t="s">
        <v>2226</v>
      </c>
      <c r="P74" s="490"/>
      <c r="Q74" s="494"/>
    </row>
    <row r="75" ht="56.25" customHeight="1">
      <c r="A75" s="377" t="s">
        <v>2307</v>
      </c>
      <c r="B75" s="389" t="s">
        <v>2329</v>
      </c>
      <c r="C75" s="407"/>
      <c r="D75" s="386">
        <v>10.6</v>
      </c>
      <c r="E75" s="375" t="s">
        <v>2309</v>
      </c>
      <c r="F75" s="492">
        <v>24.73</v>
      </c>
      <c r="G75" s="492">
        <v>34.01</v>
      </c>
      <c r="H75" s="492">
        <v>40.19</v>
      </c>
      <c r="I75" s="492">
        <v>208.0</v>
      </c>
      <c r="J75" s="386" t="s">
        <v>2330</v>
      </c>
      <c r="K75" s="386">
        <v>0.68</v>
      </c>
      <c r="L75" s="386">
        <v>4.21</v>
      </c>
      <c r="M75" s="386">
        <v>90.0</v>
      </c>
      <c r="N75" s="386">
        <v>5.0</v>
      </c>
      <c r="O75" s="386" t="s">
        <v>2226</v>
      </c>
      <c r="P75" s="376" t="s">
        <v>2050</v>
      </c>
      <c r="Q75" s="495"/>
    </row>
    <row r="76" ht="56.25" customHeight="1">
      <c r="A76" s="370" t="s">
        <v>2307</v>
      </c>
      <c r="B76" s="366" t="str">
        <f>HYPERLINK("https://azurlane.koumakan.jp/Fairey_Swordfish_(818_Squadron)#Type_0","Fairey Swordfish (818 Squadron)")</f>
        <v>Fairey Swordfish (818 Squadron)</v>
      </c>
      <c r="C76" s="407"/>
      <c r="D76" s="369">
        <v>10.97</v>
      </c>
      <c r="E76" s="368" t="s">
        <v>2331</v>
      </c>
      <c r="F76" s="370">
        <v>26.15</v>
      </c>
      <c r="G76" s="370">
        <v>35.95</v>
      </c>
      <c r="H76" s="370">
        <v>42.49</v>
      </c>
      <c r="I76" s="370">
        <v>420.0</v>
      </c>
      <c r="J76" s="369" t="s">
        <v>2293</v>
      </c>
      <c r="K76" s="369">
        <v>1.07</v>
      </c>
      <c r="L76" s="369">
        <v>8.57</v>
      </c>
      <c r="M76" s="369">
        <v>95.0</v>
      </c>
      <c r="N76" s="369">
        <v>7.0</v>
      </c>
      <c r="O76" s="369" t="s">
        <v>2226</v>
      </c>
      <c r="P76" s="369" t="s">
        <v>2025</v>
      </c>
      <c r="Q76" s="368" t="s">
        <v>2332</v>
      </c>
    </row>
    <row r="77" ht="56.25" customHeight="1">
      <c r="A77" s="377" t="s">
        <v>2307</v>
      </c>
      <c r="B77" s="373" t="str">
        <f>HYPERLINK("https://azurlane.koumakan.jp/Blackburn_Firebrand#Type_0","Blackburn Firebrand")</f>
        <v>Blackburn Firebrand</v>
      </c>
      <c r="C77" s="407"/>
      <c r="D77" s="376">
        <v>11.64</v>
      </c>
      <c r="E77" s="375" t="s">
        <v>2317</v>
      </c>
      <c r="F77" s="377">
        <v>26.89</v>
      </c>
      <c r="G77" s="377">
        <v>36.97</v>
      </c>
      <c r="H77" s="377">
        <v>43.69</v>
      </c>
      <c r="I77" s="377">
        <v>420.0</v>
      </c>
      <c r="J77" s="376" t="s">
        <v>2256</v>
      </c>
      <c r="K77" s="376">
        <v>3.35</v>
      </c>
      <c r="L77" s="376">
        <v>12.15</v>
      </c>
      <c r="M77" s="376">
        <v>95.0</v>
      </c>
      <c r="N77" s="376">
        <v>6.0</v>
      </c>
      <c r="O77" s="376" t="s">
        <v>2226</v>
      </c>
      <c r="P77" s="376" t="s">
        <v>2025</v>
      </c>
      <c r="Q77" s="465"/>
    </row>
    <row r="78" ht="56.25" customHeight="1">
      <c r="A78" s="370" t="s">
        <v>2307</v>
      </c>
      <c r="B78" s="387" t="s">
        <v>2333</v>
      </c>
      <c r="C78" s="407"/>
      <c r="D78" s="369">
        <v>10.51</v>
      </c>
      <c r="E78" s="368" t="s">
        <v>2317</v>
      </c>
      <c r="F78" s="370">
        <v>29.76</v>
      </c>
      <c r="G78" s="370">
        <v>40.93</v>
      </c>
      <c r="H78" s="370">
        <v>48.37</v>
      </c>
      <c r="I78" s="370">
        <v>420.0</v>
      </c>
      <c r="J78" s="369" t="s">
        <v>2256</v>
      </c>
      <c r="K78" s="369">
        <v>3.7</v>
      </c>
      <c r="L78" s="369">
        <v>12.15</v>
      </c>
      <c r="M78" s="369">
        <v>98.0</v>
      </c>
      <c r="N78" s="369">
        <v>6.0</v>
      </c>
      <c r="O78" s="369" t="s">
        <v>2226</v>
      </c>
      <c r="P78" s="369" t="s">
        <v>1871</v>
      </c>
      <c r="Q78" s="466"/>
    </row>
    <row r="79" ht="56.25" customHeight="1">
      <c r="A79" s="377" t="s">
        <v>2307</v>
      </c>
      <c r="B79" s="373" t="str">
        <f>HYPERLINK("https://azurlane.koumakan.jp/Fairey_Barracuda#Type_3","Barracuda")</f>
        <v>Barracuda</v>
      </c>
      <c r="C79" s="407"/>
      <c r="D79" s="376">
        <v>10.31</v>
      </c>
      <c r="E79" s="375" t="s">
        <v>2317</v>
      </c>
      <c r="F79" s="377">
        <v>30.34</v>
      </c>
      <c r="G79" s="377">
        <v>41.72</v>
      </c>
      <c r="H79" s="377">
        <v>49.3</v>
      </c>
      <c r="I79" s="377">
        <v>480.0</v>
      </c>
      <c r="J79" s="376" t="s">
        <v>2293</v>
      </c>
      <c r="K79" s="376">
        <v>1.14</v>
      </c>
      <c r="L79" s="376">
        <v>8.12</v>
      </c>
      <c r="M79" s="376">
        <v>95.0</v>
      </c>
      <c r="N79" s="376">
        <v>6.0</v>
      </c>
      <c r="O79" s="376" t="s">
        <v>2224</v>
      </c>
      <c r="P79" s="376"/>
      <c r="Q79" s="375"/>
    </row>
    <row r="80" ht="56.25" customHeight="1">
      <c r="A80" s="370" t="s">
        <v>2307</v>
      </c>
      <c r="B80" s="366" t="str">
        <f>HYPERLINK("https://azurlane.koumakan.jp/TBM_Avenger_(VT-18_Squadron)","TBM Avenger (VT-18)")</f>
        <v>TBM Avenger (VT-18)</v>
      </c>
      <c r="C80" s="407"/>
      <c r="D80" s="490">
        <v>12.04</v>
      </c>
      <c r="E80" s="368" t="s">
        <v>2317</v>
      </c>
      <c r="F80" s="489">
        <v>30.42</v>
      </c>
      <c r="G80" s="489">
        <v>41.83</v>
      </c>
      <c r="H80" s="489">
        <v>49.43</v>
      </c>
      <c r="I80" s="489">
        <v>300.0</v>
      </c>
      <c r="J80" s="490" t="s">
        <v>2293</v>
      </c>
      <c r="K80" s="490">
        <v>0.98</v>
      </c>
      <c r="L80" s="490">
        <v>7.82</v>
      </c>
      <c r="M80" s="490">
        <v>102.0</v>
      </c>
      <c r="N80" s="490">
        <v>6.0</v>
      </c>
      <c r="O80" s="490" t="s">
        <v>2226</v>
      </c>
      <c r="P80" s="490" t="s">
        <v>392</v>
      </c>
      <c r="Q80" s="496" t="s">
        <v>2334</v>
      </c>
    </row>
    <row r="81" ht="56.25" customHeight="1">
      <c r="A81" s="377" t="s">
        <v>2307</v>
      </c>
      <c r="B81" s="389" t="s">
        <v>2335</v>
      </c>
      <c r="C81" s="407"/>
      <c r="D81" s="386">
        <v>12.17</v>
      </c>
      <c r="E81" s="375" t="s">
        <v>2336</v>
      </c>
      <c r="F81" s="492">
        <v>34.29</v>
      </c>
      <c r="G81" s="492">
        <v>47.15</v>
      </c>
      <c r="H81" s="492">
        <v>55.73</v>
      </c>
      <c r="I81" s="492">
        <v>206.0</v>
      </c>
      <c r="J81" s="386" t="s">
        <v>2337</v>
      </c>
      <c r="K81" s="386">
        <v>2.57</v>
      </c>
      <c r="L81" s="386">
        <v>11.19</v>
      </c>
      <c r="M81" s="386">
        <v>138.0</v>
      </c>
      <c r="N81" s="386">
        <v>6.0</v>
      </c>
      <c r="O81" s="386" t="s">
        <v>2226</v>
      </c>
      <c r="P81" s="376" t="s">
        <v>1871</v>
      </c>
      <c r="Q81" s="495"/>
    </row>
    <row r="82" ht="56.25" customHeight="1">
      <c r="A82" s="370" t="s">
        <v>2307</v>
      </c>
      <c r="B82" s="387" t="s">
        <v>2338</v>
      </c>
      <c r="C82" s="473"/>
      <c r="D82" s="490">
        <v>11.64</v>
      </c>
      <c r="E82" s="368" t="s">
        <v>2336</v>
      </c>
      <c r="F82" s="489">
        <v>42.32</v>
      </c>
      <c r="G82" s="489">
        <v>58.19</v>
      </c>
      <c r="H82" s="489">
        <v>68.77</v>
      </c>
      <c r="I82" s="489">
        <v>420.0</v>
      </c>
      <c r="J82" s="369" t="s">
        <v>2256</v>
      </c>
      <c r="K82" s="490">
        <v>3.35</v>
      </c>
      <c r="L82" s="490">
        <v>11.52</v>
      </c>
      <c r="M82" s="490">
        <v>98.0</v>
      </c>
      <c r="N82" s="490">
        <v>6.0</v>
      </c>
      <c r="O82" s="490" t="s">
        <v>2226</v>
      </c>
      <c r="P82" s="369" t="s">
        <v>1871</v>
      </c>
      <c r="Q82" s="488" t="s">
        <v>2339</v>
      </c>
    </row>
    <row r="83">
      <c r="A83" s="413"/>
      <c r="B83" s="410"/>
      <c r="C83" s="411"/>
      <c r="D83" s="412"/>
      <c r="E83" s="410"/>
      <c r="F83" s="413"/>
      <c r="G83" s="413"/>
      <c r="H83" s="413"/>
      <c r="I83" s="413"/>
      <c r="J83" s="412"/>
      <c r="K83" s="412"/>
      <c r="L83" s="412"/>
      <c r="M83" s="412"/>
      <c r="N83" s="412"/>
      <c r="O83" s="412"/>
      <c r="P83" s="414"/>
      <c r="Q83" s="415"/>
    </row>
    <row r="84" ht="56.25" customHeight="1">
      <c r="A84" s="497" t="s">
        <v>1369</v>
      </c>
      <c r="B84" s="387" t="s">
        <v>2340</v>
      </c>
      <c r="C84" s="394"/>
      <c r="D84" s="369">
        <v>14.23</v>
      </c>
      <c r="E84" s="369" t="s">
        <v>2243</v>
      </c>
      <c r="F84" s="370">
        <v>8.81</v>
      </c>
      <c r="G84" s="370">
        <v>9.36</v>
      </c>
      <c r="H84" s="370">
        <v>11.01</v>
      </c>
      <c r="I84" s="370">
        <v>116.0</v>
      </c>
      <c r="J84" s="369" t="s">
        <v>2244</v>
      </c>
      <c r="K84" s="369">
        <v>6.71</v>
      </c>
      <c r="L84" s="369">
        <v>38.74</v>
      </c>
      <c r="M84" s="369">
        <v>91.0</v>
      </c>
      <c r="N84" s="369">
        <v>8.0</v>
      </c>
      <c r="O84" s="369" t="s">
        <v>2226</v>
      </c>
      <c r="P84" s="369" t="s">
        <v>1871</v>
      </c>
      <c r="Q84" s="368" t="s">
        <v>2341</v>
      </c>
    </row>
    <row r="85" ht="56.25" customHeight="1">
      <c r="A85" s="497" t="s">
        <v>1369</v>
      </c>
      <c r="B85" s="373" t="str">
        <f>HYPERLINK("https://azurlane.koumakan.jp/Aichi_E16A_Zuiun#Type_3","Aichi E16A Zuiun")</f>
        <v>Aichi E16A Zuiun</v>
      </c>
      <c r="C85" s="394"/>
      <c r="D85" s="376">
        <v>13.97</v>
      </c>
      <c r="E85" s="376" t="s">
        <v>2284</v>
      </c>
      <c r="F85" s="377">
        <v>9.34</v>
      </c>
      <c r="G85" s="377">
        <v>10.51</v>
      </c>
      <c r="H85" s="377">
        <v>12.84</v>
      </c>
      <c r="I85" s="377">
        <v>120.0</v>
      </c>
      <c r="J85" s="376" t="s">
        <v>2319</v>
      </c>
      <c r="K85" s="376">
        <v>1.88</v>
      </c>
      <c r="L85" s="376">
        <v>11.0</v>
      </c>
      <c r="M85" s="376">
        <v>81.0</v>
      </c>
      <c r="N85" s="376">
        <v>1.0</v>
      </c>
      <c r="O85" s="376" t="s">
        <v>2224</v>
      </c>
      <c r="P85" s="376"/>
      <c r="Q85" s="375"/>
    </row>
    <row r="86" ht="56.25" customHeight="1">
      <c r="A86" s="497" t="s">
        <v>1369</v>
      </c>
      <c r="B86" s="366" t="str">
        <f>HYPERLINK("https://azurlane.koumakan.jp/Aichi_M6A_Seiran#Type_0","M6A Seiran")</f>
        <v>M6A Seiran</v>
      </c>
      <c r="C86" s="394"/>
      <c r="D86" s="369">
        <v>14.3</v>
      </c>
      <c r="E86" s="369" t="s">
        <v>2342</v>
      </c>
      <c r="F86" s="370">
        <v>10.19</v>
      </c>
      <c r="G86" s="370">
        <v>13.59</v>
      </c>
      <c r="H86" s="370">
        <v>16.31</v>
      </c>
      <c r="I86" s="370">
        <v>120.0</v>
      </c>
      <c r="J86" s="369" t="s">
        <v>2343</v>
      </c>
      <c r="K86" s="369">
        <v>0.57</v>
      </c>
      <c r="L86" s="369">
        <v>4.16</v>
      </c>
      <c r="M86" s="369">
        <v>86.0</v>
      </c>
      <c r="N86" s="369">
        <v>1.1</v>
      </c>
      <c r="O86" s="369" t="s">
        <v>2226</v>
      </c>
      <c r="P86" s="369" t="s">
        <v>2025</v>
      </c>
      <c r="Q86" s="368" t="s">
        <v>2344</v>
      </c>
    </row>
    <row r="87" ht="56.25" customHeight="1">
      <c r="A87" s="497" t="s">
        <v>1369</v>
      </c>
      <c r="B87" s="389" t="s">
        <v>2345</v>
      </c>
      <c r="C87" s="394"/>
      <c r="D87" s="376">
        <v>12.05</v>
      </c>
      <c r="E87" s="376" t="s">
        <v>2243</v>
      </c>
      <c r="F87" s="377">
        <v>10.4</v>
      </c>
      <c r="G87" s="377">
        <v>11.05</v>
      </c>
      <c r="H87" s="377">
        <v>13.0</v>
      </c>
      <c r="I87" s="377">
        <v>126.0</v>
      </c>
      <c r="J87" s="376" t="s">
        <v>2244</v>
      </c>
      <c r="K87" s="376">
        <v>7.91</v>
      </c>
      <c r="L87" s="376">
        <v>45.7</v>
      </c>
      <c r="M87" s="376">
        <v>93.0</v>
      </c>
      <c r="N87" s="376">
        <v>8.0</v>
      </c>
      <c r="O87" s="376" t="s">
        <v>2226</v>
      </c>
      <c r="P87" s="369" t="s">
        <v>1871</v>
      </c>
      <c r="Q87" s="375" t="s">
        <v>2341</v>
      </c>
    </row>
    <row r="88" ht="56.25" customHeight="1">
      <c r="A88" s="497" t="s">
        <v>1369</v>
      </c>
      <c r="B88" s="387" t="s">
        <v>2346</v>
      </c>
      <c r="C88" s="407"/>
      <c r="D88" s="369">
        <v>12.97</v>
      </c>
      <c r="E88" s="369" t="s">
        <v>2292</v>
      </c>
      <c r="F88" s="370">
        <v>20.9</v>
      </c>
      <c r="G88" s="370">
        <v>23.61</v>
      </c>
      <c r="H88" s="370">
        <v>28.23</v>
      </c>
      <c r="I88" s="370">
        <v>208.0</v>
      </c>
      <c r="J88" s="369" t="s">
        <v>2225</v>
      </c>
      <c r="K88" s="369">
        <v>0.91</v>
      </c>
      <c r="L88" s="369">
        <v>7.26</v>
      </c>
      <c r="M88" s="369">
        <v>104.0</v>
      </c>
      <c r="N88" s="369">
        <v>1.0</v>
      </c>
      <c r="O88" s="369" t="s">
        <v>2226</v>
      </c>
      <c r="P88" s="369" t="s">
        <v>1871</v>
      </c>
      <c r="Q88" s="368"/>
    </row>
    <row r="89" ht="56.25" customHeight="1">
      <c r="A89" s="377"/>
      <c r="B89" s="375"/>
      <c r="C89" s="498"/>
      <c r="D89" s="376"/>
      <c r="E89" s="376"/>
      <c r="F89" s="377"/>
      <c r="G89" s="377"/>
      <c r="H89" s="377"/>
      <c r="I89" s="377"/>
      <c r="J89" s="376"/>
      <c r="K89" s="376"/>
      <c r="L89" s="376"/>
      <c r="M89" s="376"/>
      <c r="N89" s="376"/>
      <c r="O89" s="376"/>
      <c r="P89" s="378"/>
      <c r="Q89" s="375"/>
    </row>
    <row r="90" ht="56.25" customHeight="1">
      <c r="A90" s="499"/>
      <c r="B90" s="500"/>
      <c r="C90" s="501"/>
      <c r="D90" s="388"/>
      <c r="E90" s="388"/>
      <c r="F90" s="499"/>
      <c r="G90" s="499"/>
      <c r="H90" s="499"/>
      <c r="I90" s="499"/>
      <c r="J90" s="388"/>
      <c r="K90" s="388"/>
      <c r="L90" s="388"/>
      <c r="M90" s="388"/>
      <c r="N90" s="388"/>
      <c r="O90" s="388"/>
      <c r="P90" s="502"/>
      <c r="Q90" s="500"/>
    </row>
  </sheetData>
  <mergeCells count="8">
    <mergeCell ref="A71:A72"/>
    <mergeCell ref="C71:C72"/>
    <mergeCell ref="D71:D72"/>
    <mergeCell ref="I71:I72"/>
    <mergeCell ref="M71:M72"/>
    <mergeCell ref="O71:O72"/>
    <mergeCell ref="P71:P72"/>
    <mergeCell ref="Q71:Q72"/>
  </mergeCells>
  <conditionalFormatting sqref="A38 A57 A83">
    <cfRule type="cellIs" dxfId="7" priority="1" operator="equal">
      <formula>"CA"</formula>
    </cfRule>
  </conditionalFormatting>
  <conditionalFormatting sqref="A38 A57 A83">
    <cfRule type="cellIs" dxfId="7" priority="2" operator="equal">
      <formula>"CL"</formula>
    </cfRule>
  </conditionalFormatting>
  <conditionalFormatting sqref="A38 A57 A83">
    <cfRule type="cellIs" dxfId="5" priority="3" operator="equal">
      <formula>"BB"</formula>
    </cfRule>
  </conditionalFormatting>
  <conditionalFormatting sqref="A38 A57 A83">
    <cfRule type="cellIs" dxfId="5" priority="4" operator="equal">
      <formula>"BC"</formula>
    </cfRule>
  </conditionalFormatting>
  <conditionalFormatting sqref="A38 A57 A83">
    <cfRule type="cellIs" dxfId="10" priority="5" operator="equal">
      <formula>"AR"</formula>
    </cfRule>
  </conditionalFormatting>
  <conditionalFormatting sqref="A38 A57 A83">
    <cfRule type="cellIs" dxfId="5" priority="6" operator="equal">
      <formula>"BM"</formula>
    </cfRule>
  </conditionalFormatting>
  <conditionalFormatting sqref="A38 A57 A83">
    <cfRule type="cellIs" dxfId="0" priority="7" operator="equal">
      <formula>"SBM"</formula>
    </cfRule>
  </conditionalFormatting>
  <conditionalFormatting sqref="A38 A57 A83">
    <cfRule type="cellIs" dxfId="13" priority="8" operator="equal">
      <formula>"CV"</formula>
    </cfRule>
  </conditionalFormatting>
  <conditionalFormatting sqref="A38 A57 A83">
    <cfRule type="cellIs" dxfId="13" priority="9" operator="equal">
      <formula>"CVL"</formula>
    </cfRule>
  </conditionalFormatting>
  <conditionalFormatting sqref="A38 A57 A83">
    <cfRule type="cellIs" dxfId="14" priority="10" operator="equal">
      <formula>"BBV"</formula>
    </cfRule>
  </conditionalFormatting>
  <conditionalFormatting sqref="A38 A57 A83">
    <cfRule type="cellIs" dxfId="6" priority="11" operator="equal">
      <formula>"DD"</formula>
    </cfRule>
  </conditionalFormatting>
  <conditionalFormatting sqref="A38 A57 A83">
    <cfRule type="cellIs" dxfId="40" priority="12" operator="equal">
      <formula>"TP"</formula>
    </cfRule>
  </conditionalFormatting>
  <conditionalFormatting sqref="A38 A57 A83">
    <cfRule type="cellIs" dxfId="2" priority="13" operator="equal">
      <formula>"AA"</formula>
    </cfRule>
  </conditionalFormatting>
  <conditionalFormatting sqref="F1:F37">
    <cfRule type="colorScale" priority="14">
      <colorScale>
        <cfvo type="formula" val="11"/>
        <cfvo type="percentile" val="50"/>
        <cfvo type="max"/>
        <color rgb="FFE67C73"/>
        <color rgb="FFFFD666"/>
        <color rgb="FF57BB8A"/>
      </colorScale>
    </cfRule>
  </conditionalFormatting>
  <conditionalFormatting sqref="G1:G37">
    <cfRule type="colorScale" priority="15">
      <colorScale>
        <cfvo type="formula" val="12"/>
        <cfvo type="percentile" val="50"/>
        <cfvo type="max"/>
        <color rgb="FFE67C73"/>
        <color rgb="FFFFD666"/>
        <color rgb="FF57BB8A"/>
      </colorScale>
    </cfRule>
  </conditionalFormatting>
  <conditionalFormatting sqref="H1:H37">
    <cfRule type="colorScale" priority="16">
      <colorScale>
        <cfvo type="formula" val="14"/>
        <cfvo type="percentile" val="50"/>
        <cfvo type="max"/>
        <color rgb="FFE67C73"/>
        <color rgb="FFFFD666"/>
        <color rgb="FF57BB8A"/>
      </colorScale>
    </cfRule>
  </conditionalFormatting>
  <conditionalFormatting sqref="O1:O90">
    <cfRule type="cellIs" dxfId="2" priority="17" operator="equal">
      <formula>"T1"</formula>
    </cfRule>
  </conditionalFormatting>
  <conditionalFormatting sqref="F39:F56">
    <cfRule type="colorScale" priority="18">
      <colorScale>
        <cfvo type="min"/>
        <cfvo type="percentile" val="50"/>
        <cfvo type="max"/>
        <color rgb="FFE67C73"/>
        <color rgb="FFFFD666"/>
        <color rgb="FF57BB8A"/>
      </colorScale>
    </cfRule>
  </conditionalFormatting>
  <conditionalFormatting sqref="F58:F82">
    <cfRule type="colorScale" priority="19">
      <colorScale>
        <cfvo type="min"/>
        <cfvo type="percentile" val="50"/>
        <cfvo type="max"/>
        <color rgb="FFE67C73"/>
        <color rgb="FFFFD666"/>
        <color rgb="FF57BB8A"/>
      </colorScale>
    </cfRule>
  </conditionalFormatting>
  <conditionalFormatting sqref="G39:G56">
    <cfRule type="colorScale" priority="20">
      <colorScale>
        <cfvo type="min"/>
        <cfvo type="percentile" val="50"/>
        <cfvo type="max"/>
        <color rgb="FFE67C73"/>
        <color rgb="FFFFD666"/>
        <color rgb="FF57BB8A"/>
      </colorScale>
    </cfRule>
  </conditionalFormatting>
  <conditionalFormatting sqref="H39:H56">
    <cfRule type="colorScale" priority="21">
      <colorScale>
        <cfvo type="min"/>
        <cfvo type="percentile" val="50"/>
        <cfvo type="max"/>
        <color rgb="FFE67C73"/>
        <color rgb="FFFFD666"/>
        <color rgb="FF57BB8A"/>
      </colorScale>
    </cfRule>
  </conditionalFormatting>
  <conditionalFormatting sqref="A1:A90">
    <cfRule type="cellIs" dxfId="2" priority="22" operator="equal">
      <formula>"Fighter"</formula>
    </cfRule>
  </conditionalFormatting>
  <conditionalFormatting sqref="A1:A90">
    <cfRule type="cellIs" dxfId="0" priority="23" operator="equal">
      <formula>"Torpedo Bomber"</formula>
    </cfRule>
  </conditionalFormatting>
  <conditionalFormatting sqref="A1:A90">
    <cfRule type="cellIs" dxfId="38" priority="24" operator="equal">
      <formula>"Dive Bomber"</formula>
    </cfRule>
  </conditionalFormatting>
  <conditionalFormatting sqref="O1:O90">
    <cfRule type="cellIs" dxfId="13" priority="25" operator="equal">
      <formula>"T2"</formula>
    </cfRule>
  </conditionalFormatting>
  <conditionalFormatting sqref="O1:O90">
    <cfRule type="cellIs" dxfId="4" priority="26" operator="equal">
      <formula>"T3"</formula>
    </cfRule>
  </conditionalFormatting>
  <conditionalFormatting sqref="O1:O90">
    <cfRule type="cellIs" dxfId="4" priority="27" operator="equal">
      <formula>"T0"</formula>
    </cfRule>
  </conditionalFormatting>
  <conditionalFormatting sqref="D2:D37">
    <cfRule type="colorScale" priority="28">
      <colorScale>
        <cfvo type="min"/>
        <cfvo type="percentile" val="50"/>
        <cfvo type="max"/>
        <color rgb="FF57BB8A"/>
        <color rgb="FFFFD666"/>
        <color rgb="FFE67C73"/>
      </colorScale>
    </cfRule>
  </conditionalFormatting>
  <conditionalFormatting sqref="K2:K37">
    <cfRule type="colorScale" priority="29">
      <colorScale>
        <cfvo type="min"/>
        <cfvo type="percentile" val="50"/>
        <cfvo type="max"/>
        <color rgb="FFE67C73"/>
        <color rgb="FFFFD666"/>
        <color rgb="FF57BB8A"/>
      </colorScale>
    </cfRule>
  </conditionalFormatting>
  <conditionalFormatting sqref="L2:L37">
    <cfRule type="colorScale" priority="30">
      <colorScale>
        <cfvo type="min"/>
        <cfvo type="percentile" val="50"/>
        <cfvo type="max"/>
        <color rgb="FFE67C73"/>
        <color rgb="FFFFD666"/>
        <color rgb="FF57BB8A"/>
      </colorScale>
    </cfRule>
  </conditionalFormatting>
  <conditionalFormatting sqref="M2:M37">
    <cfRule type="colorScale" priority="31">
      <colorScale>
        <cfvo type="min"/>
        <cfvo type="percentile" val="50"/>
        <cfvo type="max"/>
        <color rgb="FFE67C73"/>
        <color rgb="FFFFD666"/>
        <color rgb="FF57BB8A"/>
      </colorScale>
    </cfRule>
  </conditionalFormatting>
  <conditionalFormatting sqref="D39:D56">
    <cfRule type="colorScale" priority="32">
      <colorScale>
        <cfvo type="min"/>
        <cfvo type="percentile" val="50"/>
        <cfvo type="max"/>
        <color rgb="FF57BB8A"/>
        <color rgb="FFFFD666"/>
        <color rgb="FFE67C73"/>
      </colorScale>
    </cfRule>
  </conditionalFormatting>
  <conditionalFormatting sqref="K39:K56">
    <cfRule type="colorScale" priority="33">
      <colorScale>
        <cfvo type="min"/>
        <cfvo type="percentile" val="50"/>
        <cfvo type="max"/>
        <color rgb="FFE67C73"/>
        <color rgb="FFFFD666"/>
        <color rgb="FF57BB8A"/>
      </colorScale>
    </cfRule>
  </conditionalFormatting>
  <conditionalFormatting sqref="L39:L56">
    <cfRule type="colorScale" priority="34">
      <colorScale>
        <cfvo type="min"/>
        <cfvo type="percentile" val="50"/>
        <cfvo type="max"/>
        <color rgb="FFE67C73"/>
        <color rgb="FFFFD666"/>
        <color rgb="FF57BB8A"/>
      </colorScale>
    </cfRule>
  </conditionalFormatting>
  <conditionalFormatting sqref="M39:M56">
    <cfRule type="colorScale" priority="35">
      <colorScale>
        <cfvo type="min"/>
        <cfvo type="percentile" val="50"/>
        <cfvo type="max"/>
        <color rgb="FFE67C73"/>
        <color rgb="FFFFD666"/>
        <color rgb="FF57BB8A"/>
      </colorScale>
    </cfRule>
  </conditionalFormatting>
  <conditionalFormatting sqref="G58:G82">
    <cfRule type="colorScale" priority="36">
      <colorScale>
        <cfvo type="min"/>
        <cfvo type="percentile" val="50"/>
        <cfvo type="max"/>
        <color rgb="FFE67C73"/>
        <color rgb="FFFFD666"/>
        <color rgb="FF57BB8A"/>
      </colorScale>
    </cfRule>
  </conditionalFormatting>
  <conditionalFormatting sqref="H58:H82">
    <cfRule type="colorScale" priority="37">
      <colorScale>
        <cfvo type="min"/>
        <cfvo type="percentile" val="50"/>
        <cfvo type="max"/>
        <color rgb="FFE67C73"/>
        <color rgb="FFFFD666"/>
        <color rgb="FF57BB8A"/>
      </colorScale>
    </cfRule>
  </conditionalFormatting>
  <conditionalFormatting sqref="D58:D82">
    <cfRule type="colorScale" priority="38">
      <colorScale>
        <cfvo type="min"/>
        <cfvo type="percentile" val="50"/>
        <cfvo type="max"/>
        <color rgb="FF57BB8A"/>
        <color rgb="FFFFD666"/>
        <color rgb="FFE67C73"/>
      </colorScale>
    </cfRule>
  </conditionalFormatting>
  <conditionalFormatting sqref="K58:K82">
    <cfRule type="colorScale" priority="39">
      <colorScale>
        <cfvo type="min"/>
        <cfvo type="percentile" val="50"/>
        <cfvo type="max"/>
        <color rgb="FFE67C73"/>
        <color rgb="FFFFD666"/>
        <color rgb="FF57BB8A"/>
      </colorScale>
    </cfRule>
  </conditionalFormatting>
  <conditionalFormatting sqref="L58:L82">
    <cfRule type="colorScale" priority="40">
      <colorScale>
        <cfvo type="min"/>
        <cfvo type="percentile" val="50"/>
        <cfvo type="max"/>
        <color rgb="FFE67C73"/>
        <color rgb="FFFFD666"/>
        <color rgb="FF57BB8A"/>
      </colorScale>
    </cfRule>
  </conditionalFormatting>
  <conditionalFormatting sqref="M58:M82">
    <cfRule type="colorScale" priority="41">
      <colorScale>
        <cfvo type="min"/>
        <cfvo type="percentile" val="50"/>
        <cfvo type="max"/>
        <color rgb="FFE67C73"/>
        <color rgb="FFFFD666"/>
        <color rgb="FF57BB8A"/>
      </colorScale>
    </cfRule>
  </conditionalFormatting>
  <conditionalFormatting sqref="F84:F88">
    <cfRule type="colorScale" priority="42">
      <colorScale>
        <cfvo type="min"/>
        <cfvo type="percentile" val="50"/>
        <cfvo type="max"/>
        <color rgb="FFE67C73"/>
        <color rgb="FFFFD666"/>
        <color rgb="FF57BB8A"/>
      </colorScale>
    </cfRule>
  </conditionalFormatting>
  <conditionalFormatting sqref="G84:G88">
    <cfRule type="colorScale" priority="43">
      <colorScale>
        <cfvo type="min"/>
        <cfvo type="percentile" val="50"/>
        <cfvo type="max"/>
        <color rgb="FFE67C73"/>
        <color rgb="FFFFD666"/>
        <color rgb="FF57BB8A"/>
      </colorScale>
    </cfRule>
  </conditionalFormatting>
  <conditionalFormatting sqref="H84:H88">
    <cfRule type="colorScale" priority="44">
      <colorScale>
        <cfvo type="min"/>
        <cfvo type="percentile" val="50"/>
        <cfvo type="max"/>
        <color rgb="FFE67C73"/>
        <color rgb="FFFFD666"/>
        <color rgb="FF57BB8A"/>
      </colorScale>
    </cfRule>
  </conditionalFormatting>
  <conditionalFormatting sqref="K84:K88">
    <cfRule type="colorScale" priority="45">
      <colorScale>
        <cfvo type="min"/>
        <cfvo type="percentile" val="50"/>
        <cfvo type="max"/>
        <color rgb="FFE67C73"/>
        <color rgb="FFFFD666"/>
        <color rgb="FF57BB8A"/>
      </colorScale>
    </cfRule>
  </conditionalFormatting>
  <conditionalFormatting sqref="L84:L88">
    <cfRule type="colorScale" priority="46">
      <colorScale>
        <cfvo type="min"/>
        <cfvo type="percentile" val="50"/>
        <cfvo type="max"/>
        <color rgb="FFE67C73"/>
        <color rgb="FFFFD666"/>
        <color rgb="FF57BB8A"/>
      </colorScale>
    </cfRule>
  </conditionalFormatting>
  <conditionalFormatting sqref="M84:M88">
    <cfRule type="colorScale" priority="47">
      <colorScale>
        <cfvo type="min"/>
        <cfvo type="percentile" val="50"/>
        <cfvo type="max"/>
        <color rgb="FFE67C73"/>
        <color rgb="FFFFD666"/>
        <color rgb="FF57BB8A"/>
      </colorScale>
    </cfRule>
  </conditionalFormatting>
  <conditionalFormatting sqref="D84:D88">
    <cfRule type="colorScale" priority="48">
      <colorScale>
        <cfvo type="min"/>
        <cfvo type="percentile" val="50"/>
        <cfvo type="max"/>
        <color rgb="FF57BB8A"/>
        <color rgb="FFFFD666"/>
        <color rgb="FFE67C73"/>
      </colorScale>
    </cfRule>
  </conditionalFormatting>
  <conditionalFormatting sqref="N2:N37">
    <cfRule type="colorScale" priority="49">
      <colorScale>
        <cfvo type="min"/>
        <cfvo type="percentile" val="50"/>
        <cfvo type="max"/>
        <color rgb="FFE67C73"/>
        <color rgb="FFFFD666"/>
        <color rgb="FF57BB8A"/>
      </colorScale>
    </cfRule>
  </conditionalFormatting>
  <conditionalFormatting sqref="I1:I37">
    <cfRule type="colorScale" priority="50">
      <colorScale>
        <cfvo type="min"/>
        <cfvo type="percentile" val="50"/>
        <cfvo type="max"/>
        <color rgb="FFE67C73"/>
        <color rgb="FFFFD666"/>
        <color rgb="FF57BB8A"/>
      </colorScale>
    </cfRule>
  </conditionalFormatting>
  <conditionalFormatting sqref="I39:I56">
    <cfRule type="colorScale" priority="51">
      <colorScale>
        <cfvo type="min"/>
        <cfvo type="percentile" val="50"/>
        <cfvo type="formula" val="220"/>
        <color rgb="FFE67C73"/>
        <color rgb="FFFFD666"/>
        <color rgb="FF57BB8A"/>
      </colorScale>
    </cfRule>
  </conditionalFormatting>
  <conditionalFormatting sqref="N39:N56">
    <cfRule type="colorScale" priority="52">
      <colorScale>
        <cfvo type="min"/>
        <cfvo type="percentile" val="50"/>
        <cfvo type="max"/>
        <color rgb="FFE67C73"/>
        <color rgb="FFFFD666"/>
        <color rgb="FF57BB8A"/>
      </colorScale>
    </cfRule>
  </conditionalFormatting>
  <conditionalFormatting sqref="I58:I82">
    <cfRule type="colorScale" priority="53">
      <colorScale>
        <cfvo type="min"/>
        <cfvo type="percentile" val="50"/>
        <cfvo type="max"/>
        <color rgb="FFE67C73"/>
        <color rgb="FFFFD666"/>
        <color rgb="FF57BB8A"/>
      </colorScale>
    </cfRule>
  </conditionalFormatting>
  <conditionalFormatting sqref="N58:N82">
    <cfRule type="colorScale" priority="54">
      <colorScale>
        <cfvo type="min"/>
        <cfvo type="percentile" val="50"/>
        <cfvo type="max"/>
        <color rgb="FFE67C73"/>
        <color rgb="FFFFD666"/>
        <color rgb="FF57BB8A"/>
      </colorScale>
    </cfRule>
  </conditionalFormatting>
  <conditionalFormatting sqref="I84:I88">
    <cfRule type="colorScale" priority="55">
      <colorScale>
        <cfvo type="min"/>
        <cfvo type="percentile" val="50"/>
        <cfvo type="max"/>
        <color rgb="FFE67C73"/>
        <color rgb="FFFFD666"/>
        <color rgb="FF57BB8A"/>
      </colorScale>
    </cfRule>
  </conditionalFormatting>
  <conditionalFormatting sqref="N84:N88">
    <cfRule type="colorScale" priority="56">
      <colorScale>
        <cfvo type="min"/>
        <cfvo type="percentile" val="50"/>
        <cfvo type="max"/>
        <color rgb="FFE67C73"/>
        <color rgb="FFFFD666"/>
        <color rgb="FF57BB8A"/>
      </colorScale>
    </cfRule>
  </conditionalFormatting>
  <hyperlinks>
    <hyperlink r:id="rId2" ref="B6"/>
    <hyperlink r:id="rId3" ref="B7"/>
    <hyperlink r:id="rId4" ref="B10"/>
    <hyperlink r:id="rId5" location="Type_3" ref="B13"/>
    <hyperlink r:id="rId6" location="Type_3" ref="B14"/>
    <hyperlink r:id="rId7" ref="B15"/>
    <hyperlink r:id="rId8" ref="B17"/>
    <hyperlink r:id="rId9" ref="B26"/>
    <hyperlink r:id="rId10" ref="B28"/>
    <hyperlink r:id="rId11" location="Type_0" ref="B33"/>
    <hyperlink r:id="rId12" ref="B35"/>
    <hyperlink r:id="rId13" ref="B36"/>
    <hyperlink r:id="rId14" ref="B37"/>
    <hyperlink r:id="rId15" location="Type_0" ref="B39"/>
    <hyperlink r:id="rId16" ref="B44"/>
    <hyperlink r:id="rId17" location="Type_0" ref="B53"/>
    <hyperlink r:id="rId18" ref="B55"/>
    <hyperlink r:id="rId19" ref="B56"/>
    <hyperlink r:id="rId20" location="Type_3" ref="B58"/>
    <hyperlink r:id="rId21" location="Type_0" ref="B59"/>
    <hyperlink r:id="rId22" ref="B60"/>
    <hyperlink r:id="rId23" ref="B64"/>
    <hyperlink r:id="rId24" ref="B69"/>
    <hyperlink r:id="rId25" ref="B74"/>
    <hyperlink r:id="rId26" ref="B75"/>
    <hyperlink r:id="rId27" ref="B78"/>
    <hyperlink r:id="rId28" ref="B81"/>
    <hyperlink r:id="rId29" ref="B82"/>
    <hyperlink r:id="rId30" ref="B84"/>
    <hyperlink r:id="rId31" ref="B87"/>
    <hyperlink r:id="rId32" ref="B88"/>
  </hyperlinks>
  <drawing r:id="rId33"/>
  <legacyDrawing r:id="rId34"/>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00"/>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14"/>
    <col customWidth="1" min="2" max="2" width="19.71"/>
    <col customWidth="1" min="3" max="3" width="10.86"/>
    <col customWidth="1" min="4" max="4" width="8.43"/>
    <col customWidth="1" min="5" max="5" width="7.57"/>
    <col customWidth="1" min="6" max="7" width="8.29"/>
    <col customWidth="1" min="8" max="8" width="6.86"/>
    <col customWidth="1" min="9" max="9" width="17.14"/>
    <col customWidth="1" min="10" max="10" width="67.71"/>
  </cols>
  <sheetData>
    <row r="1">
      <c r="A1" s="137" t="s">
        <v>4</v>
      </c>
      <c r="B1" s="503" t="s">
        <v>1834</v>
      </c>
      <c r="C1" s="504" t="s">
        <v>1835</v>
      </c>
      <c r="D1" s="503" t="s">
        <v>2347</v>
      </c>
      <c r="E1" s="503" t="s">
        <v>1837</v>
      </c>
      <c r="F1" s="503" t="s">
        <v>2348</v>
      </c>
      <c r="G1" s="503" t="s">
        <v>2349</v>
      </c>
      <c r="H1" s="503" t="s">
        <v>2350</v>
      </c>
      <c r="I1" s="503" t="s">
        <v>24</v>
      </c>
      <c r="J1" s="139" t="s">
        <v>26</v>
      </c>
    </row>
    <row r="2" ht="56.25" customHeight="1">
      <c r="A2" s="505" t="s">
        <v>11</v>
      </c>
      <c r="B2" s="506" t="s">
        <v>2351</v>
      </c>
      <c r="C2" s="451"/>
      <c r="D2" s="507">
        <v>150.0</v>
      </c>
      <c r="E2" s="507">
        <v>1.17</v>
      </c>
      <c r="F2" s="508">
        <v>89.82</v>
      </c>
      <c r="G2" s="508">
        <v>105.99</v>
      </c>
      <c r="H2" s="509">
        <v>28.0</v>
      </c>
      <c r="I2" s="510" t="s">
        <v>1928</v>
      </c>
      <c r="J2" s="511"/>
    </row>
    <row r="3" ht="56.25" customHeight="1">
      <c r="A3" s="505" t="s">
        <v>11</v>
      </c>
      <c r="B3" s="512" t="str">
        <f>HYPERLINK("https://azurlane.koumakan.jp/Quadruple_40mm_L60_Mk2_Bofors#Type_3","Quadruple 40mm Bofors")</f>
        <v>Quadruple 40mm Bofors</v>
      </c>
      <c r="C3" s="451"/>
      <c r="D3" s="507">
        <v>120.0</v>
      </c>
      <c r="E3" s="507">
        <v>1.04</v>
      </c>
      <c r="F3" s="508">
        <v>77.92</v>
      </c>
      <c r="G3" s="508">
        <v>91.95</v>
      </c>
      <c r="H3" s="509">
        <v>28.0</v>
      </c>
      <c r="I3" s="510" t="s">
        <v>2352</v>
      </c>
      <c r="J3" s="513"/>
    </row>
    <row r="4" ht="56.25" customHeight="1">
      <c r="A4" s="505" t="s">
        <v>11</v>
      </c>
      <c r="B4" s="506" t="s">
        <v>2353</v>
      </c>
      <c r="C4" s="451"/>
      <c r="D4" s="507">
        <v>94.0</v>
      </c>
      <c r="E4" s="507">
        <v>0.72</v>
      </c>
      <c r="F4" s="508">
        <v>77.05</v>
      </c>
      <c r="G4" s="508">
        <v>90.92</v>
      </c>
      <c r="H4" s="509">
        <v>30.0</v>
      </c>
      <c r="I4" s="510" t="s">
        <v>1871</v>
      </c>
      <c r="J4" s="513"/>
    </row>
    <row r="5" ht="56.25" customHeight="1">
      <c r="A5" s="505" t="s">
        <v>11</v>
      </c>
      <c r="B5" s="512" t="str">
        <f>HYPERLINK("https://azurlane.koumakan.jp/Octuple_40mm_Pom-Pom#Type_3","Octuple 40mm Pom Pom")</f>
        <v>Octuple 40mm Pom Pom</v>
      </c>
      <c r="C5" s="451"/>
      <c r="D5" s="507">
        <v>128.0</v>
      </c>
      <c r="E5" s="507">
        <v>1.17</v>
      </c>
      <c r="F5" s="508">
        <v>76.65</v>
      </c>
      <c r="G5" s="508">
        <v>90.44</v>
      </c>
      <c r="H5" s="509">
        <v>25.0</v>
      </c>
      <c r="I5" s="514">
        <v>43647.0</v>
      </c>
      <c r="J5" s="513"/>
    </row>
    <row r="6" ht="56.25" customHeight="1">
      <c r="A6" s="505" t="s">
        <v>11</v>
      </c>
      <c r="B6" s="506" t="s">
        <v>2354</v>
      </c>
      <c r="C6" s="451"/>
      <c r="D6" s="507">
        <v>128.0</v>
      </c>
      <c r="E6" s="507">
        <v>1.2</v>
      </c>
      <c r="F6" s="508">
        <v>75.29</v>
      </c>
      <c r="G6" s="508">
        <v>88.85</v>
      </c>
      <c r="H6" s="509">
        <v>32.0</v>
      </c>
      <c r="I6" s="510" t="s">
        <v>1871</v>
      </c>
      <c r="J6" s="511"/>
    </row>
    <row r="7" ht="56.25" customHeight="1">
      <c r="A7" s="505" t="s">
        <v>11</v>
      </c>
      <c r="B7" s="512" t="str">
        <f>HYPERLINK("https://azurlane.koumakan.jp/Twin_40mm_Bofors_STAAG_Mk_II#Type_0","Twin Bofors 40mm STAAG")</f>
        <v>Twin Bofors 40mm STAAG</v>
      </c>
      <c r="C7" s="451"/>
      <c r="D7" s="507">
        <v>96.0</v>
      </c>
      <c r="E7" s="507">
        <v>0.8</v>
      </c>
      <c r="F7" s="508">
        <v>73.85</v>
      </c>
      <c r="G7" s="508">
        <v>87.14</v>
      </c>
      <c r="H7" s="509">
        <v>30.0</v>
      </c>
      <c r="I7" s="510" t="s">
        <v>1990</v>
      </c>
      <c r="J7" s="511" t="s">
        <v>2355</v>
      </c>
    </row>
    <row r="8" ht="56.25" customHeight="1">
      <c r="A8" s="505" t="s">
        <v>11</v>
      </c>
      <c r="B8" s="512" t="str">
        <f>HYPERLINK("https://azurlane.koumakan.jp/Twin_40mm_Bofors_High-Angle_Type_98#Type_0","Twin 40mm Bofors High-Angle Type 98")</f>
        <v>Twin 40mm Bofors High-Angle Type 98</v>
      </c>
      <c r="C8" s="451"/>
      <c r="D8" s="507">
        <v>87.0</v>
      </c>
      <c r="E8" s="507">
        <v>0.71</v>
      </c>
      <c r="F8" s="508">
        <v>71.9</v>
      </c>
      <c r="G8" s="508">
        <v>84.84</v>
      </c>
      <c r="H8" s="509">
        <v>29.0</v>
      </c>
      <c r="I8" s="510" t="s">
        <v>2000</v>
      </c>
      <c r="J8" s="511"/>
    </row>
    <row r="9" ht="56.25" customHeight="1">
      <c r="A9" s="505" t="s">
        <v>11</v>
      </c>
      <c r="B9" s="512" t="str">
        <f>HYPERLINK("https://azurlane.koumakan.jp/Twin_100mm_High-Angle_(Type_98)#Type_0","100mm Twin High-angle Cannon")</f>
        <v>100mm Twin High-angle Cannon</v>
      </c>
      <c r="C9" s="451"/>
      <c r="D9" s="507">
        <v>126.0</v>
      </c>
      <c r="E9" s="507">
        <v>1.28</v>
      </c>
      <c r="F9" s="508">
        <v>70.79</v>
      </c>
      <c r="G9" s="508">
        <v>83.53</v>
      </c>
      <c r="H9" s="509">
        <v>32.0</v>
      </c>
      <c r="I9" s="510" t="s">
        <v>1990</v>
      </c>
      <c r="J9" s="511"/>
    </row>
    <row r="10" ht="56.25" customHeight="1">
      <c r="A10" s="505" t="s">
        <v>11</v>
      </c>
      <c r="B10" s="512" t="str">
        <f>HYPERLINK("https://azurlane.koumakan.jp/Twin_105mm_(SK_C/33)#Type_3","Twin 105mm AA Gun (SK C)")</f>
        <v>Twin 105mm AA Gun (SK C)</v>
      </c>
      <c r="C10" s="451"/>
      <c r="D10" s="507">
        <v>122.0</v>
      </c>
      <c r="E10" s="507">
        <v>1.24</v>
      </c>
      <c r="F10" s="508">
        <v>70.11</v>
      </c>
      <c r="G10" s="508">
        <v>82.74</v>
      </c>
      <c r="H10" s="509">
        <v>32.0</v>
      </c>
      <c r="I10" s="510" t="s">
        <v>2356</v>
      </c>
      <c r="J10" s="513"/>
    </row>
    <row r="11" ht="56.25" customHeight="1">
      <c r="A11" s="505" t="s">
        <v>11</v>
      </c>
      <c r="B11" s="512" t="str">
        <f>HYPERLINK("https://azurlane.koumakan.jp/Twin_40mm_Bofors_Hazemeyer_Mount_Mk_IV#Type_0","Twin Bofors 40mm Hazemeyer")</f>
        <v>Twin Bofors 40mm Hazemeyer</v>
      </c>
      <c r="C11" s="451"/>
      <c r="D11" s="507">
        <v>96.0</v>
      </c>
      <c r="E11" s="507">
        <v>0.87</v>
      </c>
      <c r="F11" s="508">
        <v>70.07</v>
      </c>
      <c r="G11" s="508">
        <v>82.69</v>
      </c>
      <c r="H11" s="509">
        <v>30.0</v>
      </c>
      <c r="I11" s="510" t="s">
        <v>2357</v>
      </c>
      <c r="J11" s="511" t="s">
        <v>2358</v>
      </c>
    </row>
    <row r="12" ht="56.25" customHeight="1">
      <c r="A12" s="505" t="s">
        <v>11</v>
      </c>
      <c r="B12" s="512" t="str">
        <f>HYPERLINK("https://azurlane.koumakan.jp/Single_90mm_High-Angle_(Model_1939)#Type_3","Single 90mm High-Angle Gun (M1939)")</f>
        <v>Single 90mm High-Angle Gun (M1939)</v>
      </c>
      <c r="C12" s="451"/>
      <c r="D12" s="507">
        <v>98.0</v>
      </c>
      <c r="E12" s="507">
        <v>0.9</v>
      </c>
      <c r="F12" s="508">
        <v>70.0</v>
      </c>
      <c r="G12" s="508">
        <v>82.6</v>
      </c>
      <c r="H12" s="509">
        <v>31.0</v>
      </c>
      <c r="I12" s="510" t="s">
        <v>1885</v>
      </c>
      <c r="J12" s="511"/>
    </row>
    <row r="13" ht="56.25" customHeight="1">
      <c r="A13" s="505" t="s">
        <v>11</v>
      </c>
      <c r="B13" s="512" t="str">
        <f>HYPERLINK("https://azurlane.koumakan.jp/Twin_113mm_(4.5%22/45_QF_Mk_I)#Type_3","Twin 113mm AA Gun")</f>
        <v>Twin 113mm AA Gun</v>
      </c>
      <c r="C13" s="451"/>
      <c r="D13" s="507">
        <v>130.0</v>
      </c>
      <c r="E13" s="507">
        <v>1.36</v>
      </c>
      <c r="F13" s="508">
        <v>69.89</v>
      </c>
      <c r="G13" s="508">
        <v>82.47</v>
      </c>
      <c r="H13" s="509">
        <v>35.0</v>
      </c>
      <c r="I13" s="510" t="s">
        <v>2359</v>
      </c>
      <c r="J13" s="513"/>
    </row>
    <row r="14" ht="56.25" customHeight="1">
      <c r="A14" s="515" t="s">
        <v>11</v>
      </c>
      <c r="B14" s="516" t="s">
        <v>2360</v>
      </c>
      <c r="C14" s="452"/>
      <c r="D14" s="517">
        <v>72.0</v>
      </c>
      <c r="E14" s="517">
        <v>0.56</v>
      </c>
      <c r="F14" s="518">
        <v>67.92</v>
      </c>
      <c r="G14" s="518">
        <v>80.15</v>
      </c>
      <c r="H14" s="519">
        <v>28.0</v>
      </c>
      <c r="I14" s="520" t="s">
        <v>1871</v>
      </c>
      <c r="J14" s="520"/>
    </row>
    <row r="15" ht="56.25" customHeight="1">
      <c r="A15" s="505" t="s">
        <v>11</v>
      </c>
      <c r="B15" s="512" t="str">
        <f>HYPERLINK("https://azurlane.koumakan.jp/Twin_37mm_ACAD_Mle_1936#Type_0","Twin 37mm ACAD Mle 1936")</f>
        <v>Twin 37mm ACAD Mle 1936</v>
      </c>
      <c r="C15" s="451"/>
      <c r="D15" s="507">
        <v>78.0</v>
      </c>
      <c r="E15" s="507">
        <v>0.73</v>
      </c>
      <c r="F15" s="508">
        <v>63.41</v>
      </c>
      <c r="G15" s="508">
        <v>74.83</v>
      </c>
      <c r="H15" s="509">
        <v>28.0</v>
      </c>
      <c r="I15" s="510" t="s">
        <v>2000</v>
      </c>
      <c r="J15" s="511"/>
    </row>
    <row r="16" ht="56.25" customHeight="1">
      <c r="A16" s="515" t="s">
        <v>11</v>
      </c>
      <c r="B16" s="521" t="s">
        <v>2361</v>
      </c>
      <c r="C16" s="452"/>
      <c r="D16" s="517">
        <v>124.0</v>
      </c>
      <c r="E16" s="517">
        <v>1.5</v>
      </c>
      <c r="F16" s="518">
        <v>62.0</v>
      </c>
      <c r="G16" s="518">
        <v>73.16</v>
      </c>
      <c r="H16" s="519">
        <v>35.0</v>
      </c>
      <c r="I16" s="520" t="s">
        <v>1871</v>
      </c>
      <c r="J16" s="520"/>
    </row>
    <row r="17" ht="56.25" customHeight="1">
      <c r="A17" s="515" t="s">
        <v>11</v>
      </c>
      <c r="B17" s="522" t="str">
        <f>HYPERLINK("https://azurlane.koumakan.jp/Twin_134mm_High-Angle_(QF_Mk_I)","134mm Twin High-Angle Gun")</f>
        <v>134mm Twin High-Angle Gun</v>
      </c>
      <c r="C17" s="452"/>
      <c r="D17" s="517">
        <v>132.0</v>
      </c>
      <c r="E17" s="517">
        <v>1.76</v>
      </c>
      <c r="F17" s="518">
        <v>58.41</v>
      </c>
      <c r="G17" s="518">
        <v>68.92</v>
      </c>
      <c r="H17" s="519">
        <v>35.0</v>
      </c>
      <c r="I17" s="520" t="s">
        <v>1919</v>
      </c>
      <c r="J17" s="520" t="s">
        <v>2362</v>
      </c>
    </row>
    <row r="18" ht="56.25" customHeight="1">
      <c r="A18" s="523" t="s">
        <v>11</v>
      </c>
      <c r="B18" s="524" t="str">
        <f>HYPERLINK("https://azurlane.koumakan.jp/Quadruple_40mm_L60_Mk2_Bofors#Type_2","Quadruple 40mm Bofors")</f>
        <v>Quadruple 40mm Bofors</v>
      </c>
      <c r="C18" s="403"/>
      <c r="D18" s="517">
        <v>108.0</v>
      </c>
      <c r="E18" s="517">
        <v>1.09</v>
      </c>
      <c r="F18" s="518">
        <v>67.92</v>
      </c>
      <c r="G18" s="518" t="s">
        <v>1897</v>
      </c>
      <c r="H18" s="525">
        <v>28.0</v>
      </c>
      <c r="I18" s="526">
        <v>43589.0</v>
      </c>
      <c r="J18" s="527"/>
    </row>
    <row r="19" ht="56.25" customHeight="1">
      <c r="A19" s="523" t="s">
        <v>11</v>
      </c>
      <c r="B19" s="528" t="str">
        <f>HYPERLINK("https://azurlane.koumakan.jp/Octuple_40mm_Pom-Pom#Type_2","Octuple 40mm Pom Pom")</f>
        <v>Octuple 40mm Pom Pom</v>
      </c>
      <c r="C19" s="403"/>
      <c r="D19" s="529">
        <v>117.0</v>
      </c>
      <c r="E19" s="529">
        <v>1.23</v>
      </c>
      <c r="F19" s="530">
        <v>67.63</v>
      </c>
      <c r="G19" s="530" t="s">
        <v>1897</v>
      </c>
      <c r="H19" s="531">
        <v>25.0</v>
      </c>
      <c r="I19" s="532" t="s">
        <v>2363</v>
      </c>
      <c r="J19" s="533"/>
    </row>
    <row r="20" ht="56.25" customHeight="1">
      <c r="A20" s="505" t="s">
        <v>11</v>
      </c>
      <c r="B20" s="506" t="s">
        <v>2364</v>
      </c>
      <c r="C20" s="446"/>
      <c r="D20" s="507">
        <v>108.0</v>
      </c>
      <c r="E20" s="507">
        <v>1.2</v>
      </c>
      <c r="F20" s="508">
        <v>63.53</v>
      </c>
      <c r="G20" s="508">
        <v>66.07</v>
      </c>
      <c r="H20" s="509">
        <v>32.0</v>
      </c>
      <c r="I20" s="510"/>
      <c r="J20" s="513"/>
    </row>
    <row r="21" ht="56.25" customHeight="1">
      <c r="A21" s="505" t="s">
        <v>11</v>
      </c>
      <c r="B21" s="512" t="str">
        <f>HYPERLINK("https://azurlane.koumakan.jp/Single_90mm_High-Angle_(Model_1939)#Type_2","Single 90mm High-Angle Gun (M1939)")</f>
        <v>Single 90mm High-Angle Gun (M1939)</v>
      </c>
      <c r="C21" s="446"/>
      <c r="D21" s="507">
        <v>90.0</v>
      </c>
      <c r="E21" s="507">
        <v>0.94</v>
      </c>
      <c r="F21" s="508">
        <v>62.5</v>
      </c>
      <c r="G21" s="508" t="s">
        <v>1897</v>
      </c>
      <c r="H21" s="509">
        <v>31.0</v>
      </c>
      <c r="I21" s="510" t="s">
        <v>1885</v>
      </c>
      <c r="J21" s="513"/>
    </row>
    <row r="22" ht="56.25" customHeight="1">
      <c r="A22" s="505" t="s">
        <v>11</v>
      </c>
      <c r="B22" s="512" t="str">
        <f>HYPERLINK("https://azurlane.koumakan.jp/Twin_100mm_(MZ-14)#Type_3","Twin 100mm DP AA (B-34 Z-14)")</f>
        <v>Twin 100mm DP AA (B-34 Z-14)</v>
      </c>
      <c r="C22" s="446"/>
      <c r="D22" s="507">
        <v>96.0</v>
      </c>
      <c r="E22" s="507">
        <v>1.06</v>
      </c>
      <c r="F22" s="508">
        <v>61.54</v>
      </c>
      <c r="G22" s="508">
        <v>64.0</v>
      </c>
      <c r="H22" s="509">
        <v>33.0</v>
      </c>
      <c r="I22" s="510"/>
      <c r="J22" s="513"/>
    </row>
    <row r="23" ht="56.25" customHeight="1">
      <c r="A23" s="523" t="s">
        <v>11</v>
      </c>
      <c r="B23" s="524" t="str">
        <f>HYPERLINK("https://azurlane.koumakan.jp/Twin_113mm_(4.5%22/45_QF_Mk_I)#Type_2","Twin 113mm AA Gun")</f>
        <v>Twin 113mm AA Gun</v>
      </c>
      <c r="C23" s="403"/>
      <c r="D23" s="517">
        <v>112.0</v>
      </c>
      <c r="E23" s="517">
        <v>1.44</v>
      </c>
      <c r="F23" s="534">
        <v>57.73</v>
      </c>
      <c r="G23" s="534" t="s">
        <v>1897</v>
      </c>
      <c r="H23" s="535">
        <v>35.0</v>
      </c>
      <c r="I23" s="536" t="s">
        <v>2359</v>
      </c>
      <c r="J23" s="527"/>
    </row>
    <row r="24" ht="56.25" customHeight="1">
      <c r="A24" s="505" t="s">
        <v>11</v>
      </c>
      <c r="B24" s="512" t="str">
        <f>HYPERLINK("https://azurlane.koumakan.jp/Twin_127mm_AA_Gun_(Type_89)#Type_3","127mm Mounted AA Gun")</f>
        <v>127mm Mounted AA Gun</v>
      </c>
      <c r="C24" s="446"/>
      <c r="D24" s="507">
        <v>116.0</v>
      </c>
      <c r="E24" s="507">
        <v>1.52</v>
      </c>
      <c r="F24" s="508">
        <v>57.43</v>
      </c>
      <c r="G24" s="508">
        <v>59.72</v>
      </c>
      <c r="H24" s="509">
        <v>35.0</v>
      </c>
      <c r="I24" s="510" t="s">
        <v>2365</v>
      </c>
      <c r="J24" s="513"/>
    </row>
    <row r="25" ht="56.25" customHeight="1">
      <c r="A25" s="505" t="s">
        <v>11</v>
      </c>
      <c r="B25" s="512" t="str">
        <f>HYPERLINK("https://azurlane.koumakan.jp/Twin_100mm_(B-54)#Type_3","Twin 100mm AA Gun (B-54)")</f>
        <v>Twin 100mm AA Gun (B-54)</v>
      </c>
      <c r="C25" s="446"/>
      <c r="D25" s="507">
        <v>110.0</v>
      </c>
      <c r="E25" s="507">
        <v>1.44</v>
      </c>
      <c r="F25" s="508">
        <v>56.7</v>
      </c>
      <c r="G25" s="508">
        <v>58.97</v>
      </c>
      <c r="H25" s="509">
        <v>32.0</v>
      </c>
      <c r="I25" s="510" t="s">
        <v>1934</v>
      </c>
      <c r="J25" s="513"/>
    </row>
    <row r="26" ht="56.25" customHeight="1">
      <c r="A26" s="523" t="s">
        <v>11</v>
      </c>
      <c r="B26" s="528" t="str">
        <f>HYPERLINK("https://azurlane.koumakan.jp/Twin_105mm_(SK_C/33)#Type_2","Twin 105mm AA Gun (SK C)")</f>
        <v>Twin 105mm AA Gun (SK C)</v>
      </c>
      <c r="C26" s="403"/>
      <c r="D26" s="529">
        <v>102.0</v>
      </c>
      <c r="E26" s="529">
        <v>1.3</v>
      </c>
      <c r="F26" s="537">
        <v>56.67</v>
      </c>
      <c r="G26" s="537" t="s">
        <v>1897</v>
      </c>
      <c r="H26" s="538">
        <v>32.0</v>
      </c>
      <c r="I26" s="539">
        <v>43620.0</v>
      </c>
      <c r="J26" s="533"/>
    </row>
    <row r="27" ht="56.25" customHeight="1">
      <c r="A27" s="515" t="s">
        <v>11</v>
      </c>
      <c r="B27" s="540" t="s">
        <v>2366</v>
      </c>
      <c r="C27" s="403"/>
      <c r="D27" s="529">
        <v>89.0</v>
      </c>
      <c r="E27" s="529">
        <v>10.8</v>
      </c>
      <c r="F27" s="537">
        <v>56.33</v>
      </c>
      <c r="G27" s="537">
        <v>58.58</v>
      </c>
      <c r="H27" s="541">
        <v>30.0</v>
      </c>
      <c r="I27" s="532" t="s">
        <v>1871</v>
      </c>
      <c r="J27" s="533"/>
    </row>
    <row r="28" ht="56.25" customHeight="1">
      <c r="A28" s="505" t="s">
        <v>11</v>
      </c>
      <c r="B28" s="506" t="s">
        <v>2367</v>
      </c>
      <c r="C28" s="446"/>
      <c r="D28" s="507">
        <v>84.0</v>
      </c>
      <c r="E28" s="507">
        <v>1.0</v>
      </c>
      <c r="F28" s="508">
        <v>56.0</v>
      </c>
      <c r="G28" s="508">
        <v>58.24</v>
      </c>
      <c r="H28" s="509">
        <v>30.0</v>
      </c>
      <c r="I28" s="510" t="s">
        <v>1871</v>
      </c>
      <c r="J28" s="513"/>
    </row>
    <row r="29" ht="56.25" customHeight="1">
      <c r="A29" s="505" t="s">
        <v>11</v>
      </c>
      <c r="B29" s="512" t="str">
        <f>HYPERLINK("https://azurlane.koumakan.jp/Quadruple_40mm_AA_Vickers_Pom_Pom#Type_3","Quadruple 40mm Pom Pom Gun")</f>
        <v>Quadruple 40mm Pom Pom Gun</v>
      </c>
      <c r="C29" s="446"/>
      <c r="D29" s="507">
        <v>84.0</v>
      </c>
      <c r="E29" s="507">
        <v>1.04</v>
      </c>
      <c r="F29" s="508">
        <v>54.55</v>
      </c>
      <c r="G29" s="508">
        <v>56.73</v>
      </c>
      <c r="H29" s="509">
        <v>25.0</v>
      </c>
      <c r="I29" s="510" t="s">
        <v>2368</v>
      </c>
      <c r="J29" s="513"/>
    </row>
    <row r="30" ht="56.25" customHeight="1">
      <c r="A30" s="505" t="s">
        <v>11</v>
      </c>
      <c r="B30" s="512" t="str">
        <f>HYPERLINK("https://azurlane.koumakan.jp/Quadruple_28mm_AA_Chicago_Piano#Type_3","Quadruple 28mm Chicago Piano")</f>
        <v>Quadruple 28mm Chicago Piano</v>
      </c>
      <c r="C30" s="446"/>
      <c r="D30" s="507">
        <v>72.0</v>
      </c>
      <c r="E30" s="507">
        <v>0.87</v>
      </c>
      <c r="F30" s="508">
        <v>52.55</v>
      </c>
      <c r="G30" s="508">
        <v>54.66</v>
      </c>
      <c r="H30" s="509">
        <v>21.0</v>
      </c>
      <c r="I30" s="510" t="s">
        <v>2369</v>
      </c>
      <c r="J30" s="513"/>
    </row>
    <row r="31" ht="56.25" customHeight="1">
      <c r="A31" s="505" t="s">
        <v>11</v>
      </c>
      <c r="B31" s="506" t="s">
        <v>2370</v>
      </c>
      <c r="C31" s="446"/>
      <c r="D31" s="507">
        <v>52.0</v>
      </c>
      <c r="E31" s="507">
        <v>0.51</v>
      </c>
      <c r="F31" s="508">
        <v>51.49</v>
      </c>
      <c r="G31" s="508">
        <v>53.54</v>
      </c>
      <c r="H31" s="509">
        <v>18.0</v>
      </c>
      <c r="I31" s="510" t="s">
        <v>1871</v>
      </c>
      <c r="J31" s="513"/>
    </row>
    <row r="32" ht="56.25" customHeight="1">
      <c r="A32" s="505" t="s">
        <v>11</v>
      </c>
      <c r="B32" s="512" t="str">
        <f>HYPERLINK("https://azurlane.koumakan.jp/Twin_40mm_Vickers_(%22HI%22_Shiki_Type_91)#Type_3","40mm AA Vickers Gun")</f>
        <v>40mm AA Vickers Gun</v>
      </c>
      <c r="C32" s="446"/>
      <c r="D32" s="507">
        <v>65.0</v>
      </c>
      <c r="E32" s="507">
        <v>0.79</v>
      </c>
      <c r="F32" s="508">
        <v>50.39</v>
      </c>
      <c r="G32" s="508">
        <v>52.4</v>
      </c>
      <c r="H32" s="509">
        <v>24.0</v>
      </c>
      <c r="I32" s="514">
        <v>43617.0</v>
      </c>
      <c r="J32" s="513"/>
    </row>
    <row r="33" ht="56.25" customHeight="1">
      <c r="A33" s="505" t="s">
        <v>11</v>
      </c>
      <c r="B33" s="512" t="str">
        <f>HYPERLINK("https://azurlane.koumakan.jp/Twin_40mm_AA_L60_Bofors#Type_3","Twin 40mm Bofors")</f>
        <v>Twin 40mm Bofors</v>
      </c>
      <c r="C33" s="446"/>
      <c r="D33" s="507">
        <v>62.0</v>
      </c>
      <c r="E33" s="507">
        <v>0.79</v>
      </c>
      <c r="F33" s="508">
        <v>48.06</v>
      </c>
      <c r="G33" s="508">
        <v>49.98</v>
      </c>
      <c r="H33" s="509">
        <v>28.0</v>
      </c>
      <c r="I33" s="510" t="s">
        <v>2371</v>
      </c>
      <c r="J33" s="513"/>
    </row>
    <row r="34" ht="56.25" customHeight="1">
      <c r="A34" s="505" t="s">
        <v>11</v>
      </c>
      <c r="B34" s="506" t="s">
        <v>2372</v>
      </c>
      <c r="C34" s="446"/>
      <c r="D34" s="507">
        <v>62.0</v>
      </c>
      <c r="E34" s="507">
        <v>0.79</v>
      </c>
      <c r="F34" s="508">
        <v>48.06</v>
      </c>
      <c r="G34" s="508">
        <v>49.98</v>
      </c>
      <c r="H34" s="509">
        <v>28.0</v>
      </c>
      <c r="I34" s="510"/>
      <c r="J34" s="513"/>
    </row>
    <row r="35" ht="56.25" customHeight="1">
      <c r="A35" s="505" t="s">
        <v>11</v>
      </c>
      <c r="B35" s="506" t="s">
        <v>2373</v>
      </c>
      <c r="C35" s="446"/>
      <c r="D35" s="507">
        <v>56.0</v>
      </c>
      <c r="E35" s="507">
        <v>0.67</v>
      </c>
      <c r="F35" s="508">
        <v>47.86</v>
      </c>
      <c r="G35" s="508">
        <v>49.78</v>
      </c>
      <c r="H35" s="509">
        <v>25.0</v>
      </c>
      <c r="I35" s="510" t="s">
        <v>1871</v>
      </c>
      <c r="J35" s="513"/>
    </row>
    <row r="36" ht="56.25" customHeight="1">
      <c r="A36" s="505" t="s">
        <v>11</v>
      </c>
      <c r="B36" s="512" t="str">
        <f>HYPERLINK("https://azurlane.koumakan.jp/Triple_25mm_AA_Type_96#Type_3","Triple 25mm Mounted AA Gun")</f>
        <v>Triple 25mm Mounted AA Gun</v>
      </c>
      <c r="C36" s="446"/>
      <c r="D36" s="507">
        <v>54.0</v>
      </c>
      <c r="E36" s="507">
        <v>0.64</v>
      </c>
      <c r="F36" s="508">
        <v>47.37</v>
      </c>
      <c r="G36" s="508">
        <v>49.26</v>
      </c>
      <c r="H36" s="509">
        <v>20.0</v>
      </c>
      <c r="I36" s="510" t="s">
        <v>2374</v>
      </c>
      <c r="J36" s="513"/>
    </row>
    <row r="37" ht="56.25" customHeight="1">
      <c r="A37" s="505" t="s">
        <v>11</v>
      </c>
      <c r="B37" s="506" t="s">
        <v>2375</v>
      </c>
      <c r="C37" s="446"/>
      <c r="D37" s="507">
        <v>61.0</v>
      </c>
      <c r="E37" s="507">
        <v>0.86</v>
      </c>
      <c r="F37" s="508">
        <v>44.85</v>
      </c>
      <c r="G37" s="508">
        <v>46.65</v>
      </c>
      <c r="H37" s="509">
        <v>30.0</v>
      </c>
      <c r="I37" s="510" t="s">
        <v>1871</v>
      </c>
      <c r="J37" s="513"/>
    </row>
    <row r="38" ht="56.25" customHeight="1">
      <c r="A38" s="505" t="s">
        <v>11</v>
      </c>
      <c r="B38" s="512" t="str">
        <f>HYPERLINK("https://azurlane.koumakan.jp/Twin_20mm_AA_Oerlikon#Type_3","Twin 20mm AA Oerlikon")</f>
        <v>Twin 20mm AA Oerlikon</v>
      </c>
      <c r="C38" s="446"/>
      <c r="D38" s="507">
        <v>45.0</v>
      </c>
      <c r="E38" s="507">
        <v>0.52</v>
      </c>
      <c r="F38" s="508">
        <v>44.12</v>
      </c>
      <c r="G38" s="508">
        <v>45.88</v>
      </c>
      <c r="H38" s="509">
        <v>18.0</v>
      </c>
      <c r="I38" s="510" t="s">
        <v>2376</v>
      </c>
      <c r="J38" s="513"/>
    </row>
    <row r="39" ht="56.25" customHeight="1">
      <c r="A39" s="505" t="s">
        <v>11</v>
      </c>
      <c r="B39" s="512" t="str">
        <f>HYPERLINK("https://azurlane.koumakan.jp/102mm_AA_QF_4""_Mk_V#Type_3","102mm AA Gun")</f>
        <v>102mm AA Gun</v>
      </c>
      <c r="C39" s="446"/>
      <c r="D39" s="507">
        <v>63.0</v>
      </c>
      <c r="E39" s="507">
        <v>1.06</v>
      </c>
      <c r="F39" s="508">
        <v>40.38</v>
      </c>
      <c r="G39" s="508">
        <v>42.0</v>
      </c>
      <c r="H39" s="509">
        <v>32.0</v>
      </c>
      <c r="I39" s="510" t="s">
        <v>2377</v>
      </c>
      <c r="J39" s="513"/>
    </row>
    <row r="40" ht="56.25" customHeight="1">
      <c r="A40" s="505" t="s">
        <v>11</v>
      </c>
      <c r="B40" s="512" t="str">
        <f>HYPERLINK("https://azurlane.koumakan.jp/76mm_AA_Gun_(3%22/50_Mk_22)#Type_3","76mm AA Gun")</f>
        <v>76mm AA Gun</v>
      </c>
      <c r="C40" s="446"/>
      <c r="D40" s="507">
        <v>54.0</v>
      </c>
      <c r="E40" s="507">
        <v>0.88</v>
      </c>
      <c r="F40" s="508">
        <v>39.13</v>
      </c>
      <c r="G40" s="508">
        <v>40.7</v>
      </c>
      <c r="H40" s="509">
        <v>30.0</v>
      </c>
      <c r="I40" s="510" t="s">
        <v>2378</v>
      </c>
      <c r="J40" s="513"/>
    </row>
    <row r="41" ht="56.25" customHeight="1">
      <c r="A41" s="505" t="s">
        <v>11</v>
      </c>
      <c r="B41" s="506" t="s">
        <v>2379</v>
      </c>
      <c r="C41" s="446"/>
      <c r="D41" s="507">
        <v>54.0</v>
      </c>
      <c r="E41" s="507">
        <v>0.88</v>
      </c>
      <c r="F41" s="508">
        <v>39.13</v>
      </c>
      <c r="G41" s="508">
        <v>40.7</v>
      </c>
      <c r="H41" s="509">
        <v>30.0</v>
      </c>
      <c r="I41" s="510" t="s">
        <v>1871</v>
      </c>
      <c r="J41" s="513"/>
    </row>
    <row r="42" ht="56.25" customHeight="1">
      <c r="A42" s="505" t="s">
        <v>11</v>
      </c>
      <c r="B42" s="512" t="str">
        <f>HYPERLINK("https://azurlane.koumakan.jp/Twin_37mm_AA_Gun_(SK_C/30)#Type_3","Twin 37mm AA 70K")</f>
        <v>Twin 37mm AA 70K</v>
      </c>
      <c r="C42" s="446"/>
      <c r="D42" s="507">
        <v>50.0</v>
      </c>
      <c r="E42" s="507">
        <v>0.79</v>
      </c>
      <c r="F42" s="508">
        <v>38.76</v>
      </c>
      <c r="G42" s="508">
        <v>40.31</v>
      </c>
      <c r="H42" s="509">
        <v>23.0</v>
      </c>
      <c r="I42" s="510" t="s">
        <v>2380</v>
      </c>
      <c r="J42" s="513"/>
    </row>
    <row r="43" ht="56.25" customHeight="1">
      <c r="A43" s="505" t="s">
        <v>11</v>
      </c>
      <c r="B43" s="512" t="str">
        <f>HYPERLINK("https://azurlane.koumakan.jp/Twin_37mm_AA_(Model_1932)#Type_3","Twin 37mm AA Gun (M1932)")</f>
        <v>Twin 37mm AA Gun (M1932)</v>
      </c>
      <c r="C43" s="446"/>
      <c r="D43" s="507">
        <v>50.0</v>
      </c>
      <c r="E43" s="507">
        <v>0.8</v>
      </c>
      <c r="F43" s="508">
        <v>38.46</v>
      </c>
      <c r="G43" s="508">
        <v>40.0</v>
      </c>
      <c r="H43" s="509">
        <v>24.0</v>
      </c>
      <c r="I43" s="510" t="s">
        <v>1885</v>
      </c>
      <c r="J43" s="513"/>
    </row>
    <row r="44" ht="56.25" customHeight="1">
      <c r="A44" s="505" t="s">
        <v>11</v>
      </c>
      <c r="B44" s="512" t="str">
        <f>HYPERLINK("https://azurlane.koumakan.jp/Twin_25mm_AA_Type_96#Type_3","Twin 25mm Mounted AA Gun")</f>
        <v>Twin 25mm Mounted AA Gun</v>
      </c>
      <c r="C44" s="446"/>
      <c r="D44" s="507">
        <v>40.0</v>
      </c>
      <c r="E44" s="507">
        <v>0.61</v>
      </c>
      <c r="F44" s="508">
        <v>36.04</v>
      </c>
      <c r="G44" s="508">
        <v>37.48</v>
      </c>
      <c r="H44" s="509">
        <v>20.0</v>
      </c>
      <c r="I44" s="510" t="s">
        <v>2381</v>
      </c>
      <c r="J44" s="513"/>
    </row>
    <row r="45" ht="56.25" customHeight="1">
      <c r="A45" s="505" t="s">
        <v>11</v>
      </c>
      <c r="B45" s="512" t="str">
        <f>HYPERLINK("https://azurlane.koumakan.jp/Single_37mm_(70-K)#Type_3","Single 37mm AA Gun (70-K)")</f>
        <v>Single 37mm AA Gun (70-K)</v>
      </c>
      <c r="C45" s="446"/>
      <c r="D45" s="507">
        <v>44.0</v>
      </c>
      <c r="E45" s="507">
        <v>0.76</v>
      </c>
      <c r="F45" s="508">
        <v>34.92</v>
      </c>
      <c r="G45" s="508">
        <v>36.32</v>
      </c>
      <c r="H45" s="509">
        <v>26.0</v>
      </c>
      <c r="I45" s="510" t="s">
        <v>1934</v>
      </c>
      <c r="J45" s="513"/>
    </row>
    <row r="46" ht="56.25" customHeight="1">
      <c r="A46" s="505" t="s">
        <v>11</v>
      </c>
      <c r="B46" s="506" t="s">
        <v>2382</v>
      </c>
      <c r="C46" s="446"/>
      <c r="D46" s="507">
        <v>32.0</v>
      </c>
      <c r="E46" s="507">
        <v>0.53</v>
      </c>
      <c r="F46" s="508">
        <v>31.07</v>
      </c>
      <c r="G46" s="508">
        <v>32.31</v>
      </c>
      <c r="H46" s="509">
        <v>17.0</v>
      </c>
      <c r="I46" s="510" t="s">
        <v>1871</v>
      </c>
      <c r="J46" s="513"/>
    </row>
    <row r="47" ht="56.25" customHeight="1">
      <c r="A47" s="505" t="s">
        <v>11</v>
      </c>
      <c r="B47" s="512" t="str">
        <f>HYPERLINK("https://azurlane.koumakan.jp/Twin_100mm_(SM-5-1s)","Twin 100mm (SM-5-1s)")</f>
        <v>Twin 100mm (SM-5-1s)</v>
      </c>
      <c r="C47" s="439"/>
      <c r="D47" s="507">
        <v>70.0</v>
      </c>
      <c r="E47" s="507">
        <v>1.56</v>
      </c>
      <c r="F47" s="508">
        <v>33.98</v>
      </c>
      <c r="G47" s="508" t="s">
        <v>1897</v>
      </c>
      <c r="H47" s="509">
        <v>34.0</v>
      </c>
      <c r="I47" s="510" t="s">
        <v>1934</v>
      </c>
      <c r="J47" s="513"/>
    </row>
    <row r="48" ht="56.25" customHeight="1">
      <c r="A48" s="505" t="s">
        <v>11</v>
      </c>
      <c r="B48" s="512" t="str">
        <f>HYPERLINK("https://azurlane.koumakan.jp/Quadruple_20mm_AA_Flakvierling_38#Type_3","Quadruple 20mm AAMG")</f>
        <v>Quadruple 20mm AAMG</v>
      </c>
      <c r="C48" s="439"/>
      <c r="D48" s="507">
        <v>46.0</v>
      </c>
      <c r="E48" s="507">
        <v>0.79</v>
      </c>
      <c r="F48" s="508">
        <v>35.66</v>
      </c>
      <c r="G48" s="508">
        <v>37.09</v>
      </c>
      <c r="H48" s="509">
        <v>18.0</v>
      </c>
      <c r="I48" s="514">
        <v>43497.0</v>
      </c>
      <c r="J48" s="513"/>
    </row>
    <row r="49" ht="56.25" customHeight="1">
      <c r="A49" s="505" t="s">
        <v>11</v>
      </c>
      <c r="B49" s="512" t="str">
        <f>HYPERLINK("https://azurlane.koumakan.jp/Twin_40mm_Pom-Pom#Type_3","Twin 40mm Vickers")</f>
        <v>Twin 40mm Vickers</v>
      </c>
      <c r="C49" s="439"/>
      <c r="D49" s="507">
        <v>45.0</v>
      </c>
      <c r="E49" s="507">
        <v>0.88</v>
      </c>
      <c r="F49" s="508">
        <v>32.61</v>
      </c>
      <c r="G49" s="508">
        <v>33.91</v>
      </c>
      <c r="H49" s="509">
        <v>25.0</v>
      </c>
      <c r="I49" s="514">
        <v>43498.0</v>
      </c>
      <c r="J49" s="513"/>
    </row>
    <row r="50" ht="56.25" customHeight="1">
      <c r="A50" s="505" t="s">
        <v>11</v>
      </c>
      <c r="B50" s="512" t="str">
        <f>HYPERLINK("https://azurlane.koumakan.jp/Twin_100mm_High-Angle_Mle_1931#Type_3","Twin 100mm High-angle AA")</f>
        <v>Twin 100mm High-angle AA</v>
      </c>
      <c r="C50" s="439"/>
      <c r="D50" s="507">
        <v>44.0</v>
      </c>
      <c r="E50" s="507">
        <v>1.3</v>
      </c>
      <c r="F50" s="508">
        <v>24.44</v>
      </c>
      <c r="G50" s="508">
        <v>25.42</v>
      </c>
      <c r="H50" s="509">
        <v>32.0</v>
      </c>
      <c r="I50" s="510" t="s">
        <v>474</v>
      </c>
      <c r="J50" s="511"/>
    </row>
    <row r="51" ht="56.25" customHeight="1">
      <c r="A51" s="505" t="s">
        <v>11</v>
      </c>
      <c r="B51" s="512" t="str">
        <f>HYPERLINK("https://azurlane.koumakan.jp/37mm_AA_Gun_(Flak_M42)#Type_3","37mm AA 70K")</f>
        <v>37mm AA 70K</v>
      </c>
      <c r="C51" s="439"/>
      <c r="D51" s="507">
        <v>24.0</v>
      </c>
      <c r="E51" s="507">
        <v>0.63</v>
      </c>
      <c r="F51" s="508">
        <v>21.24</v>
      </c>
      <c r="G51" s="508">
        <v>22.09</v>
      </c>
      <c r="H51" s="509">
        <v>23.0</v>
      </c>
      <c r="I51" s="514">
        <v>43498.0</v>
      </c>
      <c r="J51" s="513"/>
    </row>
    <row r="52" ht="56.25" customHeight="1">
      <c r="A52" s="505" t="s">
        <v>11</v>
      </c>
      <c r="B52" s="512" t="str">
        <f>HYPERLINK("https://azurlane.koumakan.jp/20mm_AA_Oerlikon#Type_3","20mm AA Oerlikon")</f>
        <v>20mm AA Oerlikon</v>
      </c>
      <c r="C52" s="439"/>
      <c r="D52" s="507">
        <v>20.0</v>
      </c>
      <c r="E52" s="507">
        <v>0.47</v>
      </c>
      <c r="F52" s="508">
        <v>20.62</v>
      </c>
      <c r="G52" s="508">
        <v>21.44</v>
      </c>
      <c r="H52" s="509">
        <v>18.0</v>
      </c>
      <c r="I52" s="514">
        <v>43498.0</v>
      </c>
      <c r="J52" s="513"/>
    </row>
    <row r="53" ht="56.25" customHeight="1">
      <c r="A53" s="505" t="s">
        <v>11</v>
      </c>
      <c r="B53" s="512" t="str">
        <f>HYPERLINK("https://azurlane.koumakan.jp/25mm_AA_Type_96#Type_3","25mm Mounted AA Gun")</f>
        <v>25mm Mounted AA Gun</v>
      </c>
      <c r="C53" s="439"/>
      <c r="D53" s="507">
        <v>21.0</v>
      </c>
      <c r="E53" s="507">
        <v>0.53</v>
      </c>
      <c r="F53" s="508">
        <v>20.39</v>
      </c>
      <c r="G53" s="508">
        <v>21.2</v>
      </c>
      <c r="H53" s="509">
        <v>20.0</v>
      </c>
      <c r="I53" s="514">
        <v>43498.0</v>
      </c>
      <c r="J53" s="513"/>
    </row>
    <row r="54" ht="56.25" customHeight="1">
      <c r="A54" s="505" t="s">
        <v>11</v>
      </c>
      <c r="B54" s="512" t="str">
        <f>HYPERLINK("https://azurlane.koumakan.jp/12.7mm_AA_M2_Browning#Type_3","12.7mm AA Gun")</f>
        <v>12.7mm AA Gun</v>
      </c>
      <c r="C54" s="439"/>
      <c r="D54" s="507">
        <v>15.0</v>
      </c>
      <c r="E54" s="507">
        <v>0.33</v>
      </c>
      <c r="F54" s="508">
        <v>18.07</v>
      </c>
      <c r="G54" s="508">
        <v>18.8</v>
      </c>
      <c r="H54" s="509">
        <v>15.0</v>
      </c>
      <c r="I54" s="514">
        <v>43525.0</v>
      </c>
      <c r="J54" s="513"/>
    </row>
    <row r="55" ht="56.25" customHeight="1">
      <c r="A55" s="505" t="s">
        <v>11</v>
      </c>
      <c r="B55" s="542"/>
      <c r="C55" s="543"/>
      <c r="D55" s="544"/>
      <c r="E55" s="544"/>
      <c r="F55" s="544"/>
      <c r="G55" s="544"/>
      <c r="H55" s="544"/>
      <c r="I55" s="542"/>
      <c r="J55" s="513"/>
    </row>
    <row r="56" ht="56.25" customHeight="1">
      <c r="A56" s="505" t="s">
        <v>11</v>
      </c>
      <c r="B56" s="542"/>
      <c r="C56" s="543"/>
      <c r="D56" s="544"/>
      <c r="E56" s="544"/>
      <c r="F56" s="544"/>
      <c r="G56" s="544"/>
      <c r="H56" s="544"/>
      <c r="I56" s="542"/>
      <c r="J56" s="513"/>
    </row>
    <row r="57" ht="56.25" customHeight="1">
      <c r="A57" s="505" t="s">
        <v>11</v>
      </c>
      <c r="B57" s="542"/>
      <c r="C57" s="543"/>
      <c r="D57" s="544"/>
      <c r="E57" s="544"/>
      <c r="F57" s="544"/>
      <c r="G57" s="544"/>
      <c r="H57" s="544"/>
      <c r="I57" s="542"/>
      <c r="J57" s="513"/>
    </row>
  </sheetData>
  <conditionalFormatting sqref="F1:F57">
    <cfRule type="colorScale" priority="1">
      <colorScale>
        <cfvo type="min"/>
        <cfvo type="percentile" val="50"/>
        <cfvo type="max"/>
        <color rgb="FFE67C73"/>
        <color rgb="FFFFD666"/>
        <color rgb="FF57BB8A"/>
      </colorScale>
    </cfRule>
  </conditionalFormatting>
  <conditionalFormatting sqref="A1:A57">
    <cfRule type="cellIs" dxfId="2" priority="2" operator="equal">
      <formula>"AA"</formula>
    </cfRule>
  </conditionalFormatting>
  <conditionalFormatting sqref="H1:H57">
    <cfRule type="colorScale" priority="3">
      <colorScale>
        <cfvo type="min"/>
        <cfvo type="percentile" val="50"/>
        <cfvo type="max"/>
        <color rgb="FFE67C73"/>
        <color rgb="FFFFD666"/>
        <color rgb="FF57BB8A"/>
      </colorScale>
    </cfRule>
  </conditionalFormatting>
  <conditionalFormatting sqref="G1:G57">
    <cfRule type="colorScale" priority="4">
      <colorScale>
        <cfvo type="min"/>
        <cfvo type="percentile" val="50"/>
        <cfvo type="max"/>
        <color rgb="FFE67C73"/>
        <color rgb="FFFFD666"/>
        <color rgb="FF57BB8A"/>
      </colorScale>
    </cfRule>
  </conditionalFormatting>
  <hyperlinks>
    <hyperlink r:id="rId2" ref="B2"/>
    <hyperlink r:id="rId3" location="Type_0" ref="B4"/>
    <hyperlink r:id="rId4" ref="B6"/>
    <hyperlink r:id="rId5" ref="B14"/>
    <hyperlink r:id="rId6" ref="B16"/>
    <hyperlink r:id="rId7" ref="B20"/>
    <hyperlink r:id="rId8" ref="B27"/>
    <hyperlink r:id="rId9" ref="B28"/>
    <hyperlink r:id="rId10" ref="B31"/>
    <hyperlink r:id="rId11" ref="B34"/>
    <hyperlink r:id="rId12" ref="B35"/>
    <hyperlink r:id="rId13" ref="B37"/>
    <hyperlink r:id="rId14" location="Type_3" ref="B41"/>
    <hyperlink r:id="rId15" ref="B46"/>
  </hyperlinks>
  <drawing r:id="rId16"/>
  <legacyDrawing r:id="rId17"/>
  <tableParts count="1">
    <tablePart r:id="rId19"/>
  </tableParts>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00"/>
    <outlinePr summaryBelow="0" summaryRight="0"/>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75"/>
  <cols>
    <col customWidth="1" min="1" max="1" width="21.14"/>
    <col customWidth="1" min="2" max="2" width="10.86"/>
    <col customWidth="1" min="3" max="14" width="7.29"/>
    <col customWidth="1" min="15" max="15" width="65.71"/>
    <col customWidth="1" min="16" max="16" width="24.57"/>
  </cols>
  <sheetData>
    <row r="1">
      <c r="A1" s="503" t="s">
        <v>2383</v>
      </c>
      <c r="B1" s="504" t="s">
        <v>1835</v>
      </c>
      <c r="C1" s="503" t="s">
        <v>7</v>
      </c>
      <c r="D1" s="503" t="s">
        <v>8</v>
      </c>
      <c r="E1" s="503" t="s">
        <v>11</v>
      </c>
      <c r="F1" s="503" t="s">
        <v>9</v>
      </c>
      <c r="G1" s="503" t="s">
        <v>10</v>
      </c>
      <c r="H1" s="503" t="s">
        <v>12</v>
      </c>
      <c r="I1" s="503" t="s">
        <v>13</v>
      </c>
      <c r="J1" s="503" t="s">
        <v>16</v>
      </c>
      <c r="K1" s="503" t="s">
        <v>15</v>
      </c>
      <c r="L1" s="503" t="s">
        <v>17</v>
      </c>
      <c r="M1" s="503" t="s">
        <v>18</v>
      </c>
      <c r="N1" s="503" t="s">
        <v>20</v>
      </c>
      <c r="O1" s="503" t="s">
        <v>26</v>
      </c>
      <c r="P1" s="503" t="s">
        <v>2384</v>
      </c>
    </row>
    <row r="2" ht="56.25" customHeight="1">
      <c r="A2" s="512" t="str">
        <f>HYPERLINK("https://azurlane.koumakan.jp/Fire_Extinguisher#Type_3","Fire Extinguisher")</f>
        <v>Fire Extinguisher</v>
      </c>
      <c r="B2" s="545"/>
      <c r="C2" s="508">
        <v>266.0</v>
      </c>
      <c r="D2" s="508" t="s">
        <v>551</v>
      </c>
      <c r="E2" s="508" t="s">
        <v>551</v>
      </c>
      <c r="F2" s="508" t="s">
        <v>551</v>
      </c>
      <c r="G2" s="508" t="s">
        <v>551</v>
      </c>
      <c r="H2" s="508" t="s">
        <v>551</v>
      </c>
      <c r="I2" s="508" t="s">
        <v>551</v>
      </c>
      <c r="J2" s="508" t="s">
        <v>551</v>
      </c>
      <c r="K2" s="508" t="s">
        <v>551</v>
      </c>
      <c r="L2" s="508" t="s">
        <v>551</v>
      </c>
      <c r="M2" s="508" t="s">
        <v>551</v>
      </c>
      <c r="N2" s="508" t="s">
        <v>551</v>
      </c>
      <c r="O2" s="510" t="s">
        <v>2385</v>
      </c>
      <c r="P2" s="514">
        <v>43499.0</v>
      </c>
    </row>
    <row r="3" ht="56.25" customHeight="1">
      <c r="A3" s="512" t="str">
        <f>HYPERLINK("https://azurlane.koumakan.jp/Naval_Camouflage#Type_3","Naval Camouflage")</f>
        <v>Naval Camouflage</v>
      </c>
      <c r="B3" s="439"/>
      <c r="C3" s="508">
        <v>44.0</v>
      </c>
      <c r="D3" s="508" t="s">
        <v>551</v>
      </c>
      <c r="E3" s="508" t="s">
        <v>551</v>
      </c>
      <c r="F3" s="508" t="s">
        <v>551</v>
      </c>
      <c r="G3" s="508" t="s">
        <v>551</v>
      </c>
      <c r="H3" s="508" t="s">
        <v>551</v>
      </c>
      <c r="I3" s="508">
        <v>17.0</v>
      </c>
      <c r="J3" s="508" t="s">
        <v>551</v>
      </c>
      <c r="K3" s="508" t="s">
        <v>551</v>
      </c>
      <c r="L3" s="508" t="s">
        <v>551</v>
      </c>
      <c r="M3" s="508" t="s">
        <v>551</v>
      </c>
      <c r="N3" s="508" t="s">
        <v>551</v>
      </c>
      <c r="O3" s="542"/>
      <c r="P3" s="514">
        <v>43498.0</v>
      </c>
    </row>
    <row r="4" ht="56.25" customHeight="1">
      <c r="A4" s="512" t="str">
        <f>HYPERLINK("https://azurlane.koumakan.jp/Hydraulic_Steering_Gear#Type_3","Hydraulic Steering Gear")</f>
        <v>Hydraulic Steering Gear</v>
      </c>
      <c r="B4" s="545"/>
      <c r="C4" s="508">
        <v>44.0</v>
      </c>
      <c r="D4" s="508" t="s">
        <v>551</v>
      </c>
      <c r="E4" s="508" t="s">
        <v>551</v>
      </c>
      <c r="F4" s="508" t="s">
        <v>551</v>
      </c>
      <c r="G4" s="508" t="s">
        <v>551</v>
      </c>
      <c r="H4" s="508" t="s">
        <v>551</v>
      </c>
      <c r="I4" s="508">
        <v>17.0</v>
      </c>
      <c r="J4" s="508" t="s">
        <v>551</v>
      </c>
      <c r="K4" s="508" t="s">
        <v>551</v>
      </c>
      <c r="L4" s="508" t="s">
        <v>551</v>
      </c>
      <c r="M4" s="508" t="s">
        <v>551</v>
      </c>
      <c r="N4" s="508" t="s">
        <v>551</v>
      </c>
      <c r="O4" s="542"/>
      <c r="P4" s="514">
        <v>43497.0</v>
      </c>
    </row>
    <row r="5" ht="56.25" customHeight="1">
      <c r="A5" s="512" t="str">
        <f>HYPERLINK("https://azurlane.koumakan.jp/Rammer#Type_3","Rammer")</f>
        <v>Rammer</v>
      </c>
      <c r="B5" s="439"/>
      <c r="C5" s="508" t="s">
        <v>551</v>
      </c>
      <c r="D5" s="508">
        <v>5.0</v>
      </c>
      <c r="E5" s="508" t="s">
        <v>551</v>
      </c>
      <c r="F5" s="508" t="s">
        <v>551</v>
      </c>
      <c r="G5" s="508" t="s">
        <v>551</v>
      </c>
      <c r="H5" s="508">
        <v>17.0</v>
      </c>
      <c r="I5" s="508" t="s">
        <v>551</v>
      </c>
      <c r="J5" s="508" t="s">
        <v>551</v>
      </c>
      <c r="K5" s="508" t="s">
        <v>551</v>
      </c>
      <c r="L5" s="508" t="s">
        <v>551</v>
      </c>
      <c r="M5" s="508" t="s">
        <v>551</v>
      </c>
      <c r="N5" s="508" t="s">
        <v>551</v>
      </c>
      <c r="O5" s="542"/>
      <c r="P5" s="514">
        <v>43525.0</v>
      </c>
    </row>
    <row r="6" ht="56.25" customHeight="1">
      <c r="A6" s="512" t="str">
        <f>HYPERLINK("https://azurlane.koumakan.jp/Autoloader#Type_3","Autoloader")</f>
        <v>Autoloader</v>
      </c>
      <c r="B6" s="446"/>
      <c r="C6" s="508" t="s">
        <v>551</v>
      </c>
      <c r="D6" s="508">
        <v>7.0</v>
      </c>
      <c r="E6" s="508" t="s">
        <v>551</v>
      </c>
      <c r="F6" s="508" t="s">
        <v>551</v>
      </c>
      <c r="G6" s="508" t="s">
        <v>551</v>
      </c>
      <c r="H6" s="508">
        <v>35.0</v>
      </c>
      <c r="I6" s="508" t="s">
        <v>551</v>
      </c>
      <c r="J6" s="508" t="s">
        <v>551</v>
      </c>
      <c r="K6" s="508" t="s">
        <v>551</v>
      </c>
      <c r="L6" s="508" t="s">
        <v>551</v>
      </c>
      <c r="M6" s="508" t="s">
        <v>551</v>
      </c>
      <c r="N6" s="508" t="s">
        <v>551</v>
      </c>
      <c r="O6" s="542"/>
      <c r="P6" s="510" t="s">
        <v>2386</v>
      </c>
    </row>
    <row r="7" ht="56.25" customHeight="1">
      <c r="A7" s="512" t="str">
        <f>HYPERLINK("https://azurlane.koumakan.jp/Repair_Toolkit#Type_3","Repair Tools")</f>
        <v>Repair Tools</v>
      </c>
      <c r="B7" s="446"/>
      <c r="C7" s="546">
        <v>500.0</v>
      </c>
      <c r="D7" s="546" t="s">
        <v>551</v>
      </c>
      <c r="E7" s="546" t="s">
        <v>551</v>
      </c>
      <c r="F7" s="546" t="s">
        <v>551</v>
      </c>
      <c r="G7" s="546" t="s">
        <v>551</v>
      </c>
      <c r="H7" s="546" t="s">
        <v>551</v>
      </c>
      <c r="I7" s="546" t="s">
        <v>551</v>
      </c>
      <c r="J7" s="546" t="s">
        <v>551</v>
      </c>
      <c r="K7" s="546" t="s">
        <v>551</v>
      </c>
      <c r="L7" s="508" t="s">
        <v>551</v>
      </c>
      <c r="M7" s="508" t="s">
        <v>551</v>
      </c>
      <c r="N7" s="546" t="s">
        <v>551</v>
      </c>
      <c r="O7" s="510" t="s">
        <v>2387</v>
      </c>
      <c r="P7" s="510" t="s">
        <v>2388</v>
      </c>
    </row>
    <row r="8" ht="56.25" customHeight="1">
      <c r="A8" s="512" t="str">
        <f>HYPERLINK("https://azurlane.koumakan.jp/Anti-Torpedo_Bulge#Type_3","Anti-Torpedo Bulge")</f>
        <v>Anti-Torpedo Bulge</v>
      </c>
      <c r="B8" s="446"/>
      <c r="C8" s="508">
        <v>350.0</v>
      </c>
      <c r="D8" s="508" t="s">
        <v>551</v>
      </c>
      <c r="E8" s="508" t="s">
        <v>551</v>
      </c>
      <c r="F8" s="508" t="s">
        <v>551</v>
      </c>
      <c r="G8" s="508" t="s">
        <v>551</v>
      </c>
      <c r="H8" s="508" t="s">
        <v>551</v>
      </c>
      <c r="I8" s="508" t="s">
        <v>551</v>
      </c>
      <c r="J8" s="508" t="s">
        <v>551</v>
      </c>
      <c r="K8" s="508" t="s">
        <v>551</v>
      </c>
      <c r="L8" s="508" t="s">
        <v>551</v>
      </c>
      <c r="M8" s="508" t="s">
        <v>551</v>
      </c>
      <c r="N8" s="508" t="s">
        <v>551</v>
      </c>
      <c r="O8" s="510" t="s">
        <v>2389</v>
      </c>
      <c r="P8" s="510" t="s">
        <v>2390</v>
      </c>
    </row>
    <row r="9" ht="56.25" customHeight="1">
      <c r="A9" s="512" t="str">
        <f>HYPERLINK("https://azurlane.koumakan.jp/VC_Armor_Plating","VC Armor Plating")</f>
        <v>VC Armor Plating</v>
      </c>
      <c r="B9" s="446"/>
      <c r="C9" s="508">
        <v>520.0</v>
      </c>
      <c r="D9" s="508" t="s">
        <v>551</v>
      </c>
      <c r="E9" s="508" t="s">
        <v>551</v>
      </c>
      <c r="F9" s="508" t="s">
        <v>551</v>
      </c>
      <c r="G9" s="508" t="s">
        <v>551</v>
      </c>
      <c r="H9" s="508" t="s">
        <v>551</v>
      </c>
      <c r="I9" s="508" t="s">
        <v>551</v>
      </c>
      <c r="J9" s="508" t="s">
        <v>551</v>
      </c>
      <c r="K9" s="508" t="s">
        <v>551</v>
      </c>
      <c r="L9" s="508" t="s">
        <v>551</v>
      </c>
      <c r="M9" s="508" t="s">
        <v>551</v>
      </c>
      <c r="N9" s="508" t="s">
        <v>551</v>
      </c>
      <c r="O9" s="510" t="s">
        <v>2391</v>
      </c>
      <c r="P9" s="510" t="s">
        <v>2392</v>
      </c>
    </row>
    <row r="10" ht="56.25" customHeight="1">
      <c r="A10" s="512" t="str">
        <f>HYPERLINK("https://azurlane.koumakan.jp/NY_City_Coast_Recon_Report","NY City Coast Recon Report")</f>
        <v>NY City Coast Recon Report</v>
      </c>
      <c r="B10" s="446"/>
      <c r="C10" s="546">
        <v>120.0</v>
      </c>
      <c r="D10" s="508" t="s">
        <v>551</v>
      </c>
      <c r="E10" s="508" t="s">
        <v>551</v>
      </c>
      <c r="F10" s="508" t="s">
        <v>551</v>
      </c>
      <c r="G10" s="508" t="s">
        <v>551</v>
      </c>
      <c r="H10" s="508" t="s">
        <v>551</v>
      </c>
      <c r="I10" s="508">
        <v>15.0</v>
      </c>
      <c r="J10" s="508" t="s">
        <v>551</v>
      </c>
      <c r="K10" s="508" t="s">
        <v>551</v>
      </c>
      <c r="L10" s="508" t="s">
        <v>551</v>
      </c>
      <c r="M10" s="508" t="s">
        <v>551</v>
      </c>
      <c r="N10" s="508" t="s">
        <v>551</v>
      </c>
      <c r="O10" s="510" t="s">
        <v>2393</v>
      </c>
      <c r="P10" s="510" t="s">
        <v>2394</v>
      </c>
    </row>
    <row r="11" ht="56.25" customHeight="1">
      <c r="A11" s="512" t="str">
        <f>HYPERLINK("https://azurlane.koumakan.jp/100/150_Aviation_Gasoline","100/150 Aviation Fuel")</f>
        <v>100/150 Aviation Fuel</v>
      </c>
      <c r="B11" s="446"/>
      <c r="C11" s="508" t="s">
        <v>551</v>
      </c>
      <c r="D11" s="508" t="s">
        <v>551</v>
      </c>
      <c r="E11" s="508" t="s">
        <v>551</v>
      </c>
      <c r="F11" s="508" t="s">
        <v>551</v>
      </c>
      <c r="G11" s="508">
        <v>70.0</v>
      </c>
      <c r="H11" s="508" t="s">
        <v>551</v>
      </c>
      <c r="I11" s="508" t="s">
        <v>551</v>
      </c>
      <c r="J11" s="508" t="s">
        <v>551</v>
      </c>
      <c r="K11" s="508" t="s">
        <v>551</v>
      </c>
      <c r="L11" s="508" t="s">
        <v>551</v>
      </c>
      <c r="M11" s="508" t="s">
        <v>551</v>
      </c>
      <c r="N11" s="508" t="s">
        <v>551</v>
      </c>
      <c r="O11" s="510" t="s">
        <v>2395</v>
      </c>
      <c r="P11" s="510" t="s">
        <v>2025</v>
      </c>
    </row>
    <row r="12" ht="56.25" customHeight="1">
      <c r="A12" s="512" t="str">
        <f>HYPERLINK("https://azurlane.koumakan.jp/Drop_Tank#Type_3","Aviation Oil Tank")</f>
        <v>Aviation Oil Tank</v>
      </c>
      <c r="B12" s="446"/>
      <c r="C12" s="508">
        <v>60.0</v>
      </c>
      <c r="D12" s="508" t="s">
        <v>551</v>
      </c>
      <c r="E12" s="508" t="s">
        <v>551</v>
      </c>
      <c r="F12" s="508" t="s">
        <v>551</v>
      </c>
      <c r="G12" s="508">
        <v>70.0</v>
      </c>
      <c r="H12" s="508" t="s">
        <v>551</v>
      </c>
      <c r="I12" s="508" t="s">
        <v>551</v>
      </c>
      <c r="J12" s="508" t="s">
        <v>551</v>
      </c>
      <c r="K12" s="508" t="s">
        <v>551</v>
      </c>
      <c r="L12" s="508" t="s">
        <v>551</v>
      </c>
      <c r="M12" s="508" t="s">
        <v>551</v>
      </c>
      <c r="N12" s="508" t="s">
        <v>551</v>
      </c>
      <c r="O12" s="510" t="s">
        <v>2396</v>
      </c>
      <c r="P12" s="514">
        <v>43588.0</v>
      </c>
    </row>
    <row r="13" ht="56.25" customHeight="1">
      <c r="A13" s="512" t="str">
        <f>HYPERLINK("https://azurlane.koumakan.jp/Aichi_AB-3","Aichi AB-3")</f>
        <v>Aichi AB-3</v>
      </c>
      <c r="B13" s="446"/>
      <c r="C13" s="508" t="s">
        <v>551</v>
      </c>
      <c r="D13" s="508" t="s">
        <v>551</v>
      </c>
      <c r="E13" s="508" t="s">
        <v>551</v>
      </c>
      <c r="F13" s="508" t="s">
        <v>551</v>
      </c>
      <c r="G13" s="508" t="s">
        <v>551</v>
      </c>
      <c r="H13" s="508" t="s">
        <v>551</v>
      </c>
      <c r="I13" s="508" t="s">
        <v>551</v>
      </c>
      <c r="J13" s="508">
        <v>35.0</v>
      </c>
      <c r="K13" s="508" t="s">
        <v>551</v>
      </c>
      <c r="L13" s="508" t="s">
        <v>551</v>
      </c>
      <c r="M13" s="508" t="s">
        <v>551</v>
      </c>
      <c r="N13" s="508" t="s">
        <v>551</v>
      </c>
      <c r="O13" s="510" t="s">
        <v>2397</v>
      </c>
      <c r="P13" s="510" t="s">
        <v>2398</v>
      </c>
    </row>
    <row r="14" ht="56.25" customHeight="1">
      <c r="A14" s="512" t="str">
        <f>HYPERLINK("https://azurlane.koumakan.jp/Compressed_Oxygen_Cylinder","Compressed Oxygen Cylinder")</f>
        <v>Compressed Oxygen Cylinder</v>
      </c>
      <c r="B14" s="446"/>
      <c r="C14" s="508" t="s">
        <v>551</v>
      </c>
      <c r="D14" s="508" t="s">
        <v>551</v>
      </c>
      <c r="E14" s="508" t="s">
        <v>551</v>
      </c>
      <c r="F14" s="508" t="s">
        <v>551</v>
      </c>
      <c r="G14" s="508" t="s">
        <v>551</v>
      </c>
      <c r="H14" s="508" t="s">
        <v>551</v>
      </c>
      <c r="I14" s="508" t="s">
        <v>551</v>
      </c>
      <c r="J14" s="508" t="s">
        <v>551</v>
      </c>
      <c r="K14" s="508" t="s">
        <v>551</v>
      </c>
      <c r="L14" s="508" t="s">
        <v>551</v>
      </c>
      <c r="M14" s="508" t="s">
        <v>551</v>
      </c>
      <c r="N14" s="508">
        <v>45.0</v>
      </c>
      <c r="O14" s="510" t="s">
        <v>2399</v>
      </c>
      <c r="P14" s="510" t="s">
        <v>2400</v>
      </c>
    </row>
    <row r="15" ht="56.25" customHeight="1">
      <c r="A15" s="512" t="str">
        <f>HYPERLINK("https://azurlane.koumakan.jp/Fuel_Filter#Type_3","Fuel Filter")</f>
        <v>Fuel Filter</v>
      </c>
      <c r="B15" s="446"/>
      <c r="C15" s="508">
        <v>350.0</v>
      </c>
      <c r="D15" s="508" t="s">
        <v>551</v>
      </c>
      <c r="E15" s="508" t="s">
        <v>551</v>
      </c>
      <c r="F15" s="508" t="s">
        <v>551</v>
      </c>
      <c r="G15" s="508" t="s">
        <v>551</v>
      </c>
      <c r="H15" s="508" t="s">
        <v>551</v>
      </c>
      <c r="I15" s="508">
        <v>5.0</v>
      </c>
      <c r="J15" s="508" t="s">
        <v>551</v>
      </c>
      <c r="K15" s="508" t="s">
        <v>551</v>
      </c>
      <c r="L15" s="508" t="s">
        <v>551</v>
      </c>
      <c r="M15" s="508" t="s">
        <v>551</v>
      </c>
      <c r="N15" s="508" t="s">
        <v>551</v>
      </c>
      <c r="O15" s="542"/>
      <c r="P15" s="510" t="s">
        <v>2401</v>
      </c>
    </row>
    <row r="16" ht="56.25" customHeight="1">
      <c r="A16" s="512" t="str">
        <f>HYPERLINK("https://azurlane.koumakan.jp/Gyroscope#Type_3","Gyroscope")</f>
        <v>Gyroscope</v>
      </c>
      <c r="B16" s="446"/>
      <c r="C16" s="508" t="s">
        <v>551</v>
      </c>
      <c r="D16" s="508" t="s">
        <v>551</v>
      </c>
      <c r="E16" s="508" t="s">
        <v>551</v>
      </c>
      <c r="F16" s="508" t="s">
        <v>551</v>
      </c>
      <c r="G16" s="508" t="s">
        <v>551</v>
      </c>
      <c r="H16" s="508" t="s">
        <v>551</v>
      </c>
      <c r="I16" s="508" t="s">
        <v>551</v>
      </c>
      <c r="J16" s="508">
        <v>35.0</v>
      </c>
      <c r="K16" s="508">
        <v>8.0</v>
      </c>
      <c r="L16" s="508" t="s">
        <v>551</v>
      </c>
      <c r="M16" s="508" t="s">
        <v>551</v>
      </c>
      <c r="N16" s="508" t="s">
        <v>551</v>
      </c>
      <c r="O16" s="542"/>
      <c r="P16" s="510" t="s">
        <v>2402</v>
      </c>
    </row>
    <row r="17" ht="56.25" customHeight="1">
      <c r="A17" s="512" t="str">
        <f>HYPERLINK("https://azurlane.koumakan.jp/Fire_Control_Radar#Type_3","Fire Control Radar")</f>
        <v>Fire Control Radar</v>
      </c>
      <c r="B17" s="446"/>
      <c r="C17" s="508" t="s">
        <v>551</v>
      </c>
      <c r="D17" s="508">
        <v>21.0</v>
      </c>
      <c r="E17" s="508" t="s">
        <v>551</v>
      </c>
      <c r="F17" s="508" t="s">
        <v>551</v>
      </c>
      <c r="G17" s="508" t="s">
        <v>551</v>
      </c>
      <c r="H17" s="508" t="s">
        <v>551</v>
      </c>
      <c r="I17" s="508" t="s">
        <v>551</v>
      </c>
      <c r="J17" s="508">
        <v>24.0</v>
      </c>
      <c r="K17" s="508" t="s">
        <v>551</v>
      </c>
      <c r="L17" s="508" t="s">
        <v>551</v>
      </c>
      <c r="M17" s="508" t="s">
        <v>551</v>
      </c>
      <c r="N17" s="508" t="s">
        <v>551</v>
      </c>
      <c r="O17" s="542"/>
      <c r="P17" s="510" t="s">
        <v>2403</v>
      </c>
    </row>
    <row r="18" ht="56.25" customHeight="1">
      <c r="A18" s="512" t="str">
        <f>HYPERLINK("https://azurlane.koumakan.jp/Type_98_Delayed_Firing_Device","Type 98 Delayed Firing Device")</f>
        <v>Type 98 Delayed Firing Device</v>
      </c>
      <c r="B18" s="446"/>
      <c r="C18" s="508" t="s">
        <v>551</v>
      </c>
      <c r="D18" s="546">
        <v>32.0</v>
      </c>
      <c r="E18" s="546" t="s">
        <v>551</v>
      </c>
      <c r="F18" s="546" t="s">
        <v>551</v>
      </c>
      <c r="G18" s="546" t="s">
        <v>551</v>
      </c>
      <c r="H18" s="546" t="s">
        <v>551</v>
      </c>
      <c r="I18" s="546" t="s">
        <v>551</v>
      </c>
      <c r="J18" s="546" t="s">
        <v>551</v>
      </c>
      <c r="K18" s="546" t="s">
        <v>551</v>
      </c>
      <c r="L18" s="508" t="s">
        <v>551</v>
      </c>
      <c r="M18" s="508" t="s">
        <v>551</v>
      </c>
      <c r="N18" s="546" t="s">
        <v>551</v>
      </c>
      <c r="O18" s="510" t="s">
        <v>2404</v>
      </c>
      <c r="P18" s="510" t="s">
        <v>2025</v>
      </c>
    </row>
    <row r="19" ht="56.25" customHeight="1">
      <c r="A19" s="512" t="str">
        <f>HYPERLINK("https://azurlane.koumakan.jp/Homing_Beacon","Homing Beacon")</f>
        <v>Homing Beacon</v>
      </c>
      <c r="B19" s="446"/>
      <c r="C19" s="508" t="s">
        <v>551</v>
      </c>
      <c r="D19" s="508" t="s">
        <v>551</v>
      </c>
      <c r="E19" s="508" t="s">
        <v>551</v>
      </c>
      <c r="F19" s="508" t="s">
        <v>551</v>
      </c>
      <c r="G19" s="508">
        <v>60.0</v>
      </c>
      <c r="H19" s="508" t="s">
        <v>551</v>
      </c>
      <c r="I19" s="508" t="s">
        <v>551</v>
      </c>
      <c r="J19" s="508" t="s">
        <v>551</v>
      </c>
      <c r="K19" s="508" t="s">
        <v>551</v>
      </c>
      <c r="L19" s="508" t="s">
        <v>551</v>
      </c>
      <c r="M19" s="508" t="s">
        <v>551</v>
      </c>
      <c r="N19" s="508" t="s">
        <v>551</v>
      </c>
      <c r="O19" s="510" t="s">
        <v>2405</v>
      </c>
      <c r="P19" s="510" t="s">
        <v>2025</v>
      </c>
    </row>
    <row r="20" ht="56.25" customHeight="1">
      <c r="A20" s="512" t="str">
        <f>HYPERLINK("https://azurlane.koumakan.jp/Improved_Boiler#Type_3","Improved Boiler")</f>
        <v>Improved Boiler</v>
      </c>
      <c r="B20" s="446"/>
      <c r="C20" s="508">
        <v>245.0</v>
      </c>
      <c r="D20" s="508" t="s">
        <v>551</v>
      </c>
      <c r="E20" s="508" t="s">
        <v>551</v>
      </c>
      <c r="F20" s="508" t="s">
        <v>551</v>
      </c>
      <c r="G20" s="508" t="s">
        <v>551</v>
      </c>
      <c r="H20" s="508" t="s">
        <v>551</v>
      </c>
      <c r="I20" s="508" t="s">
        <v>551</v>
      </c>
      <c r="J20" s="508" t="s">
        <v>551</v>
      </c>
      <c r="K20" s="508">
        <v>8.0</v>
      </c>
      <c r="L20" s="508" t="s">
        <v>551</v>
      </c>
      <c r="M20" s="508" t="s">
        <v>551</v>
      </c>
      <c r="N20" s="508" t="s">
        <v>551</v>
      </c>
      <c r="O20" s="542"/>
      <c r="P20" s="510" t="s">
        <v>2406</v>
      </c>
    </row>
    <row r="21" ht="56.25" customHeight="1">
      <c r="A21" s="512" t="str">
        <f>HYPERLINK("https://azurlane.koumakan.jp/Air_Radar#Type_3","Air Radar")</f>
        <v>Air Radar</v>
      </c>
      <c r="B21" s="446"/>
      <c r="C21" s="508" t="s">
        <v>551</v>
      </c>
      <c r="D21" s="508" t="s">
        <v>551</v>
      </c>
      <c r="E21" s="508">
        <v>70.0</v>
      </c>
      <c r="F21" s="508" t="s">
        <v>551</v>
      </c>
      <c r="G21" s="508" t="s">
        <v>551</v>
      </c>
      <c r="H21" s="508" t="s">
        <v>551</v>
      </c>
      <c r="I21" s="508" t="s">
        <v>551</v>
      </c>
      <c r="J21" s="508" t="s">
        <v>551</v>
      </c>
      <c r="K21" s="508" t="s">
        <v>551</v>
      </c>
      <c r="L21" s="508" t="s">
        <v>551</v>
      </c>
      <c r="M21" s="508" t="s">
        <v>551</v>
      </c>
      <c r="N21" s="508" t="s">
        <v>551</v>
      </c>
      <c r="O21" s="510"/>
      <c r="P21" s="510" t="s">
        <v>2407</v>
      </c>
    </row>
    <row r="22" ht="56.25" customHeight="1">
      <c r="A22" s="512" t="str">
        <f>HYPERLINK("https://azurlane.koumakan.jp/Type_94_High_Angle_Director","Type 94 AA Device")</f>
        <v>Type 94 AA Device</v>
      </c>
      <c r="B22" s="446"/>
      <c r="C22" s="508" t="s">
        <v>551</v>
      </c>
      <c r="D22" s="508" t="s">
        <v>551</v>
      </c>
      <c r="E22" s="508">
        <v>55.0</v>
      </c>
      <c r="F22" s="508" t="s">
        <v>551</v>
      </c>
      <c r="G22" s="508" t="s">
        <v>551</v>
      </c>
      <c r="H22" s="508" t="s">
        <v>551</v>
      </c>
      <c r="I22" s="508" t="s">
        <v>551</v>
      </c>
      <c r="J22" s="508">
        <v>10.0</v>
      </c>
      <c r="K22" s="508" t="s">
        <v>551</v>
      </c>
      <c r="L22" s="508" t="s">
        <v>551</v>
      </c>
      <c r="M22" s="508" t="s">
        <v>551</v>
      </c>
      <c r="N22" s="508" t="s">
        <v>551</v>
      </c>
      <c r="O22" s="510"/>
      <c r="P22" s="510" t="s">
        <v>2025</v>
      </c>
    </row>
    <row r="23" ht="56.25" customHeight="1">
      <c r="A23" s="512" t="str">
        <f>HYPERLINK("https://azurlane.koumakan.jp/Type_91_Armor_Piercing_Shell","Type 91 Armor Piercing Shell")</f>
        <v>Type 91 Armor Piercing Shell</v>
      </c>
      <c r="B23" s="446"/>
      <c r="C23" s="508" t="s">
        <v>551</v>
      </c>
      <c r="D23" s="546">
        <v>35.0</v>
      </c>
      <c r="E23" s="546" t="s">
        <v>551</v>
      </c>
      <c r="F23" s="546" t="s">
        <v>551</v>
      </c>
      <c r="G23" s="546" t="s">
        <v>551</v>
      </c>
      <c r="H23" s="546" t="s">
        <v>551</v>
      </c>
      <c r="I23" s="546" t="s">
        <v>551</v>
      </c>
      <c r="J23" s="546">
        <v>10.0</v>
      </c>
      <c r="K23" s="546" t="s">
        <v>551</v>
      </c>
      <c r="L23" s="508" t="s">
        <v>551</v>
      </c>
      <c r="M23" s="508" t="s">
        <v>551</v>
      </c>
      <c r="N23" s="546" t="s">
        <v>551</v>
      </c>
      <c r="O23" s="510" t="s">
        <v>2408</v>
      </c>
      <c r="P23" s="510" t="s">
        <v>2409</v>
      </c>
    </row>
    <row r="24" ht="56.25" customHeight="1">
      <c r="A24" s="512" t="str">
        <f>HYPERLINK("https://azurlane.koumakan.jp/Ocean_Soul_Camouflage","Ocean Soul Camouflage")</f>
        <v>Ocean Soul Camouflage</v>
      </c>
      <c r="B24" s="446"/>
      <c r="C24" s="546">
        <v>100.0</v>
      </c>
      <c r="D24" s="546" t="s">
        <v>551</v>
      </c>
      <c r="E24" s="546" t="s">
        <v>551</v>
      </c>
      <c r="F24" s="546" t="s">
        <v>551</v>
      </c>
      <c r="G24" s="546" t="s">
        <v>551</v>
      </c>
      <c r="H24" s="546" t="s">
        <v>551</v>
      </c>
      <c r="I24" s="546">
        <v>18.0</v>
      </c>
      <c r="J24" s="546" t="s">
        <v>551</v>
      </c>
      <c r="K24" s="546" t="s">
        <v>551</v>
      </c>
      <c r="L24" s="546" t="s">
        <v>551</v>
      </c>
      <c r="M24" s="546" t="s">
        <v>551</v>
      </c>
      <c r="N24" s="546" t="s">
        <v>551</v>
      </c>
      <c r="O24" s="510"/>
      <c r="P24" s="510" t="s">
        <v>2025</v>
      </c>
    </row>
    <row r="25" ht="56.25" customHeight="1">
      <c r="A25" s="506" t="s">
        <v>2410</v>
      </c>
      <c r="B25" s="446"/>
      <c r="C25" s="546">
        <v>100.0</v>
      </c>
      <c r="D25" s="546" t="s">
        <v>551</v>
      </c>
      <c r="E25" s="546" t="s">
        <v>551</v>
      </c>
      <c r="F25" s="546">
        <v>35.0</v>
      </c>
      <c r="G25" s="546" t="s">
        <v>551</v>
      </c>
      <c r="H25" s="546" t="s">
        <v>551</v>
      </c>
      <c r="I25" s="546" t="s">
        <v>551</v>
      </c>
      <c r="J25" s="546" t="s">
        <v>551</v>
      </c>
      <c r="K25" s="546" t="s">
        <v>551</v>
      </c>
      <c r="L25" s="546" t="s">
        <v>551</v>
      </c>
      <c r="M25" s="546" t="s">
        <v>551</v>
      </c>
      <c r="N25" s="546" t="s">
        <v>551</v>
      </c>
      <c r="O25" s="510" t="s">
        <v>2411</v>
      </c>
      <c r="P25" s="547" t="s">
        <v>2025</v>
      </c>
    </row>
    <row r="26" ht="56.25" customHeight="1">
      <c r="A26" s="512" t="str">
        <f>HYPERLINK("https://azurlane.koumakan.jp/VH_Armor_Plating","VH Armor Plating")</f>
        <v>VH Armor Plating</v>
      </c>
      <c r="B26" s="451"/>
      <c r="C26" s="508">
        <v>650.0</v>
      </c>
      <c r="D26" s="508" t="s">
        <v>551</v>
      </c>
      <c r="E26" s="546" t="s">
        <v>551</v>
      </c>
      <c r="F26" s="546" t="s">
        <v>551</v>
      </c>
      <c r="G26" s="546" t="s">
        <v>551</v>
      </c>
      <c r="H26" s="546" t="s">
        <v>551</v>
      </c>
      <c r="I26" s="546" t="s">
        <v>551</v>
      </c>
      <c r="J26" s="508" t="s">
        <v>551</v>
      </c>
      <c r="K26" s="546" t="s">
        <v>551</v>
      </c>
      <c r="L26" s="508" t="s">
        <v>551</v>
      </c>
      <c r="M26" s="508" t="s">
        <v>551</v>
      </c>
      <c r="N26" s="546" t="s">
        <v>551</v>
      </c>
      <c r="O26" s="510" t="s">
        <v>2412</v>
      </c>
      <c r="P26" s="510" t="s">
        <v>2392</v>
      </c>
    </row>
    <row r="27" ht="56.25" customHeight="1">
      <c r="A27" s="512" t="str">
        <f>HYPERLINK("https://azurlane.koumakan.jp/High_Performance_Anti-Air_Radar","High Performance Air Radar")</f>
        <v>High Performance Air Radar</v>
      </c>
      <c r="B27" s="451"/>
      <c r="C27" s="508" t="s">
        <v>551</v>
      </c>
      <c r="D27" s="508" t="s">
        <v>551</v>
      </c>
      <c r="E27" s="508">
        <v>100.0</v>
      </c>
      <c r="F27" s="508" t="s">
        <v>551</v>
      </c>
      <c r="G27" s="508" t="s">
        <v>551</v>
      </c>
      <c r="H27" s="508" t="s">
        <v>551</v>
      </c>
      <c r="I27" s="508" t="s">
        <v>551</v>
      </c>
      <c r="J27" s="508" t="s">
        <v>551</v>
      </c>
      <c r="K27" s="508" t="s">
        <v>551</v>
      </c>
      <c r="L27" s="508" t="s">
        <v>551</v>
      </c>
      <c r="M27" s="508" t="s">
        <v>551</v>
      </c>
      <c r="N27" s="508" t="s">
        <v>551</v>
      </c>
      <c r="O27" s="510" t="s">
        <v>2413</v>
      </c>
      <c r="P27" s="510" t="s">
        <v>2414</v>
      </c>
    </row>
    <row r="28" ht="56.25" customHeight="1">
      <c r="A28" s="512" t="str">
        <f>HYPERLINK("https://azurlane.koumakan.jp/High_Performance_Fire_Control_Radar","High Performance Fire Control Radar")</f>
        <v>High Performance Fire Control Radar</v>
      </c>
      <c r="B28" s="451"/>
      <c r="C28" s="508" t="s">
        <v>551</v>
      </c>
      <c r="D28" s="508">
        <v>30.0</v>
      </c>
      <c r="E28" s="508" t="s">
        <v>551</v>
      </c>
      <c r="F28" s="508" t="s">
        <v>551</v>
      </c>
      <c r="G28" s="508" t="s">
        <v>551</v>
      </c>
      <c r="H28" s="508" t="s">
        <v>551</v>
      </c>
      <c r="I28" s="508" t="s">
        <v>551</v>
      </c>
      <c r="J28" s="508">
        <v>36.0</v>
      </c>
      <c r="K28" s="508" t="s">
        <v>551</v>
      </c>
      <c r="L28" s="508" t="s">
        <v>551</v>
      </c>
      <c r="M28" s="508" t="s">
        <v>551</v>
      </c>
      <c r="N28" s="508" t="s">
        <v>551</v>
      </c>
      <c r="O28" s="510" t="s">
        <v>2415</v>
      </c>
      <c r="P28" s="510" t="s">
        <v>2416</v>
      </c>
    </row>
    <row r="29" ht="56.25" customHeight="1">
      <c r="A29" s="512" t="str">
        <f>HYPERLINK("https://azurlane.koumakan.jp/Improved_Snorkel","Improved Snorkel")</f>
        <v>Improved Snorkel</v>
      </c>
      <c r="B29" s="451"/>
      <c r="C29" s="508" t="s">
        <v>551</v>
      </c>
      <c r="D29" s="508" t="s">
        <v>551</v>
      </c>
      <c r="E29" s="508" t="s">
        <v>551</v>
      </c>
      <c r="F29" s="508" t="s">
        <v>551</v>
      </c>
      <c r="G29" s="508" t="s">
        <v>551</v>
      </c>
      <c r="H29" s="508" t="s">
        <v>551</v>
      </c>
      <c r="I29" s="508" t="s">
        <v>551</v>
      </c>
      <c r="J29" s="508" t="s">
        <v>551</v>
      </c>
      <c r="K29" s="508" t="s">
        <v>551</v>
      </c>
      <c r="L29" s="508" t="s">
        <v>551</v>
      </c>
      <c r="M29" s="508" t="s">
        <v>551</v>
      </c>
      <c r="N29" s="508">
        <v>85.0</v>
      </c>
      <c r="O29" s="510" t="s">
        <v>2417</v>
      </c>
      <c r="P29" s="510" t="s">
        <v>2025</v>
      </c>
    </row>
    <row r="30" ht="56.25" customHeight="1">
      <c r="A30" s="512" t="str">
        <f>HYPERLINK("https://azurlane.koumakan.jp/Improved_Hydraulic_Rudder","High Performance Hydraulic Steering Gear")</f>
        <v>High Performance Hydraulic Steering Gear</v>
      </c>
      <c r="B30" s="451"/>
      <c r="C30" s="508">
        <v>60.0</v>
      </c>
      <c r="D30" s="508" t="s">
        <v>551</v>
      </c>
      <c r="E30" s="508" t="s">
        <v>551</v>
      </c>
      <c r="F30" s="508" t="s">
        <v>551</v>
      </c>
      <c r="G30" s="508" t="s">
        <v>551</v>
      </c>
      <c r="H30" s="508" t="s">
        <v>551</v>
      </c>
      <c r="I30" s="508">
        <v>40.0</v>
      </c>
      <c r="J30" s="508" t="s">
        <v>551</v>
      </c>
      <c r="K30" s="508" t="s">
        <v>551</v>
      </c>
      <c r="L30" s="508" t="s">
        <v>551</v>
      </c>
      <c r="M30" s="508" t="s">
        <v>551</v>
      </c>
      <c r="N30" s="508" t="s">
        <v>551</v>
      </c>
      <c r="O30" s="510" t="s">
        <v>2418</v>
      </c>
      <c r="P30" s="510" t="s">
        <v>2414</v>
      </c>
    </row>
    <row r="31" ht="56.25" customHeight="1">
      <c r="A31" s="512" t="str">
        <f>HYPERLINK("https://azurlane.koumakan.jp/Improved_Storage_Battery","Improved Storage Battery")</f>
        <v>Improved Storage Battery</v>
      </c>
      <c r="B31" s="451"/>
      <c r="C31" s="508" t="s">
        <v>551</v>
      </c>
      <c r="D31" s="508" t="s">
        <v>551</v>
      </c>
      <c r="E31" s="508" t="s">
        <v>551</v>
      </c>
      <c r="F31" s="508" t="s">
        <v>551</v>
      </c>
      <c r="G31" s="508" t="s">
        <v>551</v>
      </c>
      <c r="H31" s="508" t="s">
        <v>551</v>
      </c>
      <c r="I31" s="508">
        <v>15.0</v>
      </c>
      <c r="J31" s="508" t="s">
        <v>551</v>
      </c>
      <c r="K31" s="508" t="s">
        <v>551</v>
      </c>
      <c r="L31" s="508" t="s">
        <v>551</v>
      </c>
      <c r="M31" s="508" t="s">
        <v>551</v>
      </c>
      <c r="N31" s="508">
        <v>45.0</v>
      </c>
      <c r="O31" s="510" t="s">
        <v>2419</v>
      </c>
      <c r="P31" s="510" t="s">
        <v>2025</v>
      </c>
    </row>
    <row r="32" ht="56.25" customHeight="1">
      <c r="A32" s="512" t="str">
        <f>HYPERLINK("https://azurlane.koumakan.jp/Little_Beaver_Squadron_Tag","Little Beaver Squadron Tag")</f>
        <v>Little Beaver Squadron Tag</v>
      </c>
      <c r="B32" s="451"/>
      <c r="C32" s="508">
        <v>75.0</v>
      </c>
      <c r="D32" s="508" t="s">
        <v>551</v>
      </c>
      <c r="E32" s="508" t="s">
        <v>551</v>
      </c>
      <c r="F32" s="508" t="s">
        <v>551</v>
      </c>
      <c r="G32" s="508" t="s">
        <v>551</v>
      </c>
      <c r="H32" s="508" t="s">
        <v>551</v>
      </c>
      <c r="I32" s="508">
        <v>35.0</v>
      </c>
      <c r="J32" s="508" t="s">
        <v>551</v>
      </c>
      <c r="K32" s="508" t="s">
        <v>551</v>
      </c>
      <c r="L32" s="508" t="s">
        <v>551</v>
      </c>
      <c r="M32" s="508" t="s">
        <v>551</v>
      </c>
      <c r="N32" s="508" t="s">
        <v>551</v>
      </c>
      <c r="O32" s="510" t="s">
        <v>2420</v>
      </c>
      <c r="P32" s="510" t="s">
        <v>2421</v>
      </c>
    </row>
    <row r="33" ht="56.25" customHeight="1">
      <c r="A33" s="512" t="str">
        <f>HYPERLINK("https://azurlane.koumakan.jp/Pearl_Tears","Pearl's Tears")</f>
        <v>Pearl's Tears</v>
      </c>
      <c r="B33" s="451"/>
      <c r="C33" s="508">
        <v>500.0</v>
      </c>
      <c r="D33" s="508" t="s">
        <v>551</v>
      </c>
      <c r="E33" s="508" t="s">
        <v>551</v>
      </c>
      <c r="F33" s="508" t="s">
        <v>551</v>
      </c>
      <c r="G33" s="508" t="s">
        <v>551</v>
      </c>
      <c r="H33" s="508" t="s">
        <v>551</v>
      </c>
      <c r="I33" s="508" t="s">
        <v>551</v>
      </c>
      <c r="J33" s="508" t="s">
        <v>551</v>
      </c>
      <c r="K33" s="508" t="s">
        <v>551</v>
      </c>
      <c r="L33" s="508" t="s">
        <v>551</v>
      </c>
      <c r="M33" s="508" t="s">
        <v>551</v>
      </c>
      <c r="N33" s="508" t="s">
        <v>551</v>
      </c>
      <c r="O33" s="510" t="s">
        <v>2422</v>
      </c>
      <c r="P33" s="510" t="s">
        <v>2421</v>
      </c>
    </row>
    <row r="34" ht="56.25" customHeight="1">
      <c r="A34" s="512" t="str">
        <f>HYPERLINK("https://azurlane.koumakan.jp/SG_Radar#Type_3","SG Radar")</f>
        <v>SG Radar</v>
      </c>
      <c r="B34" s="451"/>
      <c r="C34" s="508" t="s">
        <v>551</v>
      </c>
      <c r="D34" s="508" t="s">
        <v>551</v>
      </c>
      <c r="E34" s="508" t="s">
        <v>551</v>
      </c>
      <c r="F34" s="508" t="s">
        <v>551</v>
      </c>
      <c r="G34" s="508" t="s">
        <v>551</v>
      </c>
      <c r="H34" s="508" t="s">
        <v>551</v>
      </c>
      <c r="I34" s="508">
        <v>15.0</v>
      </c>
      <c r="J34" s="508">
        <v>35.0</v>
      </c>
      <c r="K34" s="508" t="s">
        <v>551</v>
      </c>
      <c r="L34" s="508" t="s">
        <v>551</v>
      </c>
      <c r="M34" s="508" t="s">
        <v>551</v>
      </c>
      <c r="N34" s="508" t="s">
        <v>551</v>
      </c>
      <c r="O34" s="510" t="s">
        <v>2423</v>
      </c>
      <c r="P34" s="510" t="s">
        <v>2424</v>
      </c>
    </row>
    <row r="35" ht="56.25" customHeight="1">
      <c r="A35" s="512" t="str">
        <f>HYPERLINK("https://azurlane.koumakan.jp/Ship_Maintenance_Crane#Type_3","Repair Toolkit")</f>
        <v>Repair Toolkit</v>
      </c>
      <c r="B35" s="451"/>
      <c r="C35" s="546">
        <v>500.0</v>
      </c>
      <c r="D35" s="546" t="s">
        <v>551</v>
      </c>
      <c r="E35" s="546" t="s">
        <v>551</v>
      </c>
      <c r="F35" s="546" t="s">
        <v>551</v>
      </c>
      <c r="G35" s="546" t="s">
        <v>551</v>
      </c>
      <c r="H35" s="546" t="s">
        <v>551</v>
      </c>
      <c r="I35" s="546" t="s">
        <v>551</v>
      </c>
      <c r="J35" s="546" t="s">
        <v>551</v>
      </c>
      <c r="K35" s="546" t="s">
        <v>551</v>
      </c>
      <c r="L35" s="508" t="s">
        <v>551</v>
      </c>
      <c r="M35" s="508" t="s">
        <v>551</v>
      </c>
      <c r="N35" s="546" t="s">
        <v>551</v>
      </c>
      <c r="O35" s="510" t="s">
        <v>2425</v>
      </c>
      <c r="P35" s="514">
        <v>43710.0</v>
      </c>
    </row>
    <row r="36" ht="56.25" customHeight="1">
      <c r="A36" s="512" t="str">
        <f>HYPERLINK("https://azurlane.koumakan.jp/Steam_Catapult#Type_3","Steam Catapult")</f>
        <v>Steam Catapult</v>
      </c>
      <c r="B36" s="451"/>
      <c r="C36" s="546">
        <v>75.0</v>
      </c>
      <c r="D36" s="508" t="s">
        <v>551</v>
      </c>
      <c r="E36" s="508" t="s">
        <v>551</v>
      </c>
      <c r="F36" s="508" t="s">
        <v>551</v>
      </c>
      <c r="G36" s="508">
        <v>100.0</v>
      </c>
      <c r="H36" s="508" t="s">
        <v>551</v>
      </c>
      <c r="I36" s="508" t="s">
        <v>551</v>
      </c>
      <c r="J36" s="508" t="s">
        <v>551</v>
      </c>
      <c r="K36" s="508" t="s">
        <v>551</v>
      </c>
      <c r="L36" s="508" t="s">
        <v>551</v>
      </c>
      <c r="M36" s="508" t="s">
        <v>551</v>
      </c>
      <c r="N36" s="508" t="s">
        <v>551</v>
      </c>
      <c r="O36" s="542"/>
      <c r="P36" s="510" t="s">
        <v>2426</v>
      </c>
    </row>
    <row r="37" ht="56.25" customHeight="1">
      <c r="A37" s="512" t="str">
        <f>HYPERLINK("https://azurlane.koumakan.jp/Super_Heavy_Shell","Super Heavy Shell")</f>
        <v>Super Heavy Shell</v>
      </c>
      <c r="B37" s="451"/>
      <c r="C37" s="508" t="s">
        <v>551</v>
      </c>
      <c r="D37" s="546">
        <v>70.0</v>
      </c>
      <c r="E37" s="546" t="s">
        <v>551</v>
      </c>
      <c r="F37" s="546" t="s">
        <v>551</v>
      </c>
      <c r="G37" s="546" t="s">
        <v>551</v>
      </c>
      <c r="H37" s="546" t="s">
        <v>551</v>
      </c>
      <c r="I37" s="546" t="s">
        <v>551</v>
      </c>
      <c r="J37" s="546" t="s">
        <v>551</v>
      </c>
      <c r="K37" s="546" t="s">
        <v>551</v>
      </c>
      <c r="L37" s="508" t="s">
        <v>551</v>
      </c>
      <c r="M37" s="508" t="s">
        <v>551</v>
      </c>
      <c r="N37" s="546" t="s">
        <v>551</v>
      </c>
      <c r="O37" s="510" t="s">
        <v>2427</v>
      </c>
      <c r="P37" s="510" t="s">
        <v>2025</v>
      </c>
    </row>
    <row r="38" ht="56.25" customHeight="1">
      <c r="A38" s="512" t="str">
        <f>HYPERLINK("https://azurlane.koumakan.jp/Type_1_Armor_Piercing_Shell","Type 1 Armor Piercing Shell")</f>
        <v>Type 1 Armor Piercing Shell</v>
      </c>
      <c r="B38" s="451"/>
      <c r="C38" s="508" t="s">
        <v>551</v>
      </c>
      <c r="D38" s="546">
        <v>55.0</v>
      </c>
      <c r="E38" s="546" t="s">
        <v>551</v>
      </c>
      <c r="F38" s="546" t="s">
        <v>551</v>
      </c>
      <c r="G38" s="546" t="s">
        <v>551</v>
      </c>
      <c r="H38" s="546" t="s">
        <v>551</v>
      </c>
      <c r="I38" s="546" t="s">
        <v>551</v>
      </c>
      <c r="J38" s="546">
        <v>15.0</v>
      </c>
      <c r="K38" s="546" t="s">
        <v>551</v>
      </c>
      <c r="L38" s="508" t="s">
        <v>551</v>
      </c>
      <c r="M38" s="508" t="s">
        <v>551</v>
      </c>
      <c r="N38" s="546" t="s">
        <v>551</v>
      </c>
      <c r="O38" s="510" t="s">
        <v>2408</v>
      </c>
      <c r="P38" s="510" t="s">
        <v>2025</v>
      </c>
    </row>
    <row r="39" ht="56.25" customHeight="1">
      <c r="A39" s="512" t="str">
        <f>HYPERLINK("https://azurlane.koumakan.jp/Healing_Cat%27s_Paw","Healing Cat's Paw")</f>
        <v>Healing Cat's Paw</v>
      </c>
      <c r="B39" s="451"/>
      <c r="C39" s="508">
        <v>300.0</v>
      </c>
      <c r="D39" s="508" t="s">
        <v>551</v>
      </c>
      <c r="E39" s="508" t="s">
        <v>551</v>
      </c>
      <c r="F39" s="508" t="s">
        <v>551</v>
      </c>
      <c r="G39" s="508" t="s">
        <v>551</v>
      </c>
      <c r="H39" s="508" t="s">
        <v>551</v>
      </c>
      <c r="I39" s="508" t="s">
        <v>551</v>
      </c>
      <c r="J39" s="508" t="s">
        <v>551</v>
      </c>
      <c r="K39" s="508" t="s">
        <v>551</v>
      </c>
      <c r="L39" s="508" t="s">
        <v>551</v>
      </c>
      <c r="M39" s="508" t="s">
        <v>551</v>
      </c>
      <c r="N39" s="508" t="s">
        <v>551</v>
      </c>
      <c r="O39" s="510" t="s">
        <v>2428</v>
      </c>
      <c r="P39" s="510" t="s">
        <v>2429</v>
      </c>
    </row>
    <row r="40" ht="56.25" customHeight="1">
      <c r="A40" s="512" t="str">
        <f>HYPERLINK("https://azurlane.koumakan.jp/Type_93_Pure_Oxygen_Torpedo#Type_3","Type 93 Pure Oxygen Torpedo")</f>
        <v>Type 93 Pure Oxygen Torpedo</v>
      </c>
      <c r="B40" s="548"/>
      <c r="C40" s="508" t="s">
        <v>551</v>
      </c>
      <c r="D40" s="508" t="s">
        <v>551</v>
      </c>
      <c r="E40" s="508" t="s">
        <v>551</v>
      </c>
      <c r="F40" s="508">
        <v>100.0</v>
      </c>
      <c r="G40" s="508" t="s">
        <v>551</v>
      </c>
      <c r="H40" s="508">
        <v>10.0</v>
      </c>
      <c r="I40" s="508" t="s">
        <v>551</v>
      </c>
      <c r="J40" s="508" t="s">
        <v>551</v>
      </c>
      <c r="K40" s="508" t="s">
        <v>551</v>
      </c>
      <c r="L40" s="508" t="s">
        <v>551</v>
      </c>
      <c r="M40" s="508" t="s">
        <v>551</v>
      </c>
      <c r="N40" s="508" t="s">
        <v>551</v>
      </c>
      <c r="O40" s="510"/>
      <c r="P40" s="510" t="s">
        <v>2025</v>
      </c>
    </row>
    <row r="41" ht="56.25" customHeight="1">
      <c r="A41" s="512" t="str">
        <f>HYPERLINK("https://azurlane.koumakan.jp/Z_Flag","Z Flag")</f>
        <v>Z Flag</v>
      </c>
      <c r="B41" s="548"/>
      <c r="C41" s="508" t="s">
        <v>551</v>
      </c>
      <c r="D41" s="508" t="s">
        <v>551</v>
      </c>
      <c r="E41" s="508" t="s">
        <v>551</v>
      </c>
      <c r="F41" s="508" t="s">
        <v>551</v>
      </c>
      <c r="G41" s="508" t="s">
        <v>551</v>
      </c>
      <c r="H41" s="508" t="s">
        <v>551</v>
      </c>
      <c r="I41" s="508">
        <v>15.0</v>
      </c>
      <c r="J41" s="508">
        <v>10.0</v>
      </c>
      <c r="K41" s="508" t="s">
        <v>551</v>
      </c>
      <c r="L41" s="508">
        <v>5.0</v>
      </c>
      <c r="M41" s="508" t="s">
        <v>551</v>
      </c>
      <c r="N41" s="508" t="s">
        <v>551</v>
      </c>
      <c r="O41" s="510" t="s">
        <v>2430</v>
      </c>
      <c r="P41" s="510" t="s">
        <v>2431</v>
      </c>
    </row>
    <row r="42" ht="56.25" customHeight="1">
      <c r="A42" s="512" t="str">
        <f>HYPERLINK("https://azurlane.koumakan.jp/Unfulfilled_Promise","Unfulfilled Promise")</f>
        <v>Unfulfilled Promise</v>
      </c>
      <c r="B42" s="451"/>
      <c r="C42" s="546">
        <v>150.0</v>
      </c>
      <c r="D42" s="508" t="s">
        <v>551</v>
      </c>
      <c r="E42" s="508" t="s">
        <v>551</v>
      </c>
      <c r="F42" s="508" t="s">
        <v>551</v>
      </c>
      <c r="G42" s="508" t="s">
        <v>551</v>
      </c>
      <c r="H42" s="508" t="s">
        <v>551</v>
      </c>
      <c r="I42" s="508">
        <v>12.0</v>
      </c>
      <c r="J42" s="508" t="s">
        <v>551</v>
      </c>
      <c r="K42" s="508" t="s">
        <v>551</v>
      </c>
      <c r="L42" s="508" t="s">
        <v>551</v>
      </c>
      <c r="M42" s="508" t="s">
        <v>551</v>
      </c>
      <c r="N42" s="508" t="s">
        <v>551</v>
      </c>
      <c r="O42" s="510" t="s">
        <v>2432</v>
      </c>
      <c r="P42" s="510" t="s">
        <v>2433</v>
      </c>
    </row>
    <row r="43" ht="56.25" customHeight="1">
      <c r="A43" s="512" t="str">
        <f>HYPERLINK("https://azurlane.koumakan.jp/Intelligence_Chip","Intelligence Chip")</f>
        <v>Intelligence Chip</v>
      </c>
      <c r="B43" s="451"/>
      <c r="C43" s="546">
        <v>245.0</v>
      </c>
      <c r="D43" s="508" t="s">
        <v>551</v>
      </c>
      <c r="E43" s="508" t="s">
        <v>551</v>
      </c>
      <c r="F43" s="508" t="s">
        <v>551</v>
      </c>
      <c r="G43" s="508" t="s">
        <v>551</v>
      </c>
      <c r="H43" s="508" t="s">
        <v>551</v>
      </c>
      <c r="I43" s="508" t="s">
        <v>551</v>
      </c>
      <c r="J43" s="508" t="s">
        <v>551</v>
      </c>
      <c r="K43" s="508">
        <v>8.0</v>
      </c>
      <c r="L43" s="508" t="s">
        <v>551</v>
      </c>
      <c r="M43" s="508" t="s">
        <v>551</v>
      </c>
      <c r="N43" s="508" t="s">
        <v>551</v>
      </c>
      <c r="O43" s="510" t="s">
        <v>2434</v>
      </c>
      <c r="P43" s="510" t="s">
        <v>2435</v>
      </c>
    </row>
    <row r="44" ht="56.25" customHeight="1">
      <c r="A44" s="512" t="str">
        <f>HYPERLINK("https://azurlane.koumakan.jp/Pyoko-Pyoko","Pyoko-Pyoko")</f>
        <v>Pyoko-Pyoko</v>
      </c>
      <c r="B44" s="451"/>
      <c r="C44" s="546">
        <v>500.0</v>
      </c>
      <c r="D44" s="508" t="s">
        <v>551</v>
      </c>
      <c r="E44" s="508" t="s">
        <v>551</v>
      </c>
      <c r="F44" s="508" t="s">
        <v>551</v>
      </c>
      <c r="G44" s="508" t="s">
        <v>551</v>
      </c>
      <c r="H44" s="508" t="s">
        <v>551</v>
      </c>
      <c r="I44" s="508" t="s">
        <v>551</v>
      </c>
      <c r="J44" s="508" t="s">
        <v>551</v>
      </c>
      <c r="K44" s="508" t="s">
        <v>551</v>
      </c>
      <c r="L44" s="546">
        <v>2.0</v>
      </c>
      <c r="M44" s="546" t="s">
        <v>551</v>
      </c>
      <c r="N44" s="508" t="s">
        <v>551</v>
      </c>
      <c r="O44" s="510" t="s">
        <v>2436</v>
      </c>
      <c r="P44" s="510" t="s">
        <v>2435</v>
      </c>
    </row>
    <row r="45" ht="56.25" customHeight="1">
      <c r="A45" s="512" t="str">
        <f>HYPERLINK("https://azurlane.koumakan.jp/Random_Word_Generator","Random Word Generator")</f>
        <v>Random Word Generator</v>
      </c>
      <c r="B45" s="451"/>
      <c r="C45" s="508" t="s">
        <v>551</v>
      </c>
      <c r="D45" s="508" t="s">
        <v>551</v>
      </c>
      <c r="E45" s="508" t="s">
        <v>551</v>
      </c>
      <c r="F45" s="508" t="s">
        <v>551</v>
      </c>
      <c r="G45" s="508" t="s">
        <v>551</v>
      </c>
      <c r="H45" s="508" t="s">
        <v>551</v>
      </c>
      <c r="I45" s="508">
        <v>15.0</v>
      </c>
      <c r="J45" s="508">
        <v>25.0</v>
      </c>
      <c r="K45" s="508" t="s">
        <v>551</v>
      </c>
      <c r="L45" s="508" t="s">
        <v>551</v>
      </c>
      <c r="M45" s="508" t="s">
        <v>551</v>
      </c>
      <c r="N45" s="508" t="s">
        <v>551</v>
      </c>
      <c r="O45" s="510" t="s">
        <v>2437</v>
      </c>
      <c r="P45" s="510" t="s">
        <v>2435</v>
      </c>
    </row>
    <row r="46" ht="56.25" customHeight="1">
      <c r="A46" s="512" t="str">
        <f>HYPERLINK("https://azurlane.koumakan.jp/Seal_of_the_Four_Gods","Seal of the Four Gods")</f>
        <v>Seal of the Four Gods</v>
      </c>
      <c r="B46" s="451"/>
      <c r="C46" s="508">
        <v>550.0</v>
      </c>
      <c r="D46" s="508" t="s">
        <v>551</v>
      </c>
      <c r="E46" s="508" t="s">
        <v>551</v>
      </c>
      <c r="F46" s="508" t="s">
        <v>551</v>
      </c>
      <c r="G46" s="508" t="s">
        <v>551</v>
      </c>
      <c r="H46" s="508" t="s">
        <v>551</v>
      </c>
      <c r="I46" s="508" t="s">
        <v>551</v>
      </c>
      <c r="J46" s="508" t="s">
        <v>551</v>
      </c>
      <c r="K46" s="508" t="s">
        <v>551</v>
      </c>
      <c r="L46" s="508" t="s">
        <v>551</v>
      </c>
      <c r="M46" s="508" t="s">
        <v>551</v>
      </c>
      <c r="N46" s="508" t="s">
        <v>551</v>
      </c>
      <c r="O46" s="510" t="s">
        <v>2438</v>
      </c>
      <c r="P46" s="510" t="s">
        <v>2025</v>
      </c>
    </row>
    <row r="47" ht="56.25" customHeight="1">
      <c r="A47" s="512" t="str">
        <f>HYPERLINK("https://azurlane.koumakan.jp/Team_Emblem","Team Emblem")</f>
        <v>Team Emblem</v>
      </c>
      <c r="B47" s="451"/>
      <c r="C47" s="508" t="s">
        <v>551</v>
      </c>
      <c r="D47" s="508" t="s">
        <v>551</v>
      </c>
      <c r="E47" s="508" t="s">
        <v>551</v>
      </c>
      <c r="F47" s="508" t="s">
        <v>551</v>
      </c>
      <c r="G47" s="508" t="s">
        <v>551</v>
      </c>
      <c r="H47" s="508" t="s">
        <v>551</v>
      </c>
      <c r="I47" s="508">
        <v>15.0</v>
      </c>
      <c r="J47" s="508">
        <v>25.0</v>
      </c>
      <c r="K47" s="508" t="s">
        <v>551</v>
      </c>
      <c r="L47" s="508" t="s">
        <v>551</v>
      </c>
      <c r="M47" s="508" t="s">
        <v>551</v>
      </c>
      <c r="N47" s="508" t="s">
        <v>551</v>
      </c>
      <c r="O47" s="510" t="s">
        <v>2439</v>
      </c>
      <c r="P47" s="510" t="s">
        <v>437</v>
      </c>
    </row>
    <row r="48" ht="56.25" customHeight="1">
      <c r="A48" s="512" t="str">
        <f>HYPERLINK("https://azurlane.koumakan.jp/Corn_Lantern","Corn Lantern")</f>
        <v>Corn Lantern</v>
      </c>
      <c r="B48" s="451"/>
      <c r="C48" s="508">
        <v>120.0</v>
      </c>
      <c r="D48" s="508" t="s">
        <v>551</v>
      </c>
      <c r="E48" s="508" t="s">
        <v>551</v>
      </c>
      <c r="F48" s="508" t="s">
        <v>551</v>
      </c>
      <c r="G48" s="508" t="s">
        <v>551</v>
      </c>
      <c r="H48" s="508" t="s">
        <v>551</v>
      </c>
      <c r="I48" s="508" t="s">
        <v>551</v>
      </c>
      <c r="J48" s="508" t="s">
        <v>551</v>
      </c>
      <c r="K48" s="508" t="s">
        <v>551</v>
      </c>
      <c r="L48" s="508" t="s">
        <v>551</v>
      </c>
      <c r="M48" s="508">
        <v>24.0</v>
      </c>
      <c r="N48" s="508" t="s">
        <v>551</v>
      </c>
      <c r="O48" s="510" t="s">
        <v>2440</v>
      </c>
      <c r="P48" s="510" t="s">
        <v>437</v>
      </c>
    </row>
    <row r="49" ht="56.25" customHeight="1">
      <c r="A49" s="512" t="str">
        <f>HYPERLINK("https://azurlane.koumakan.jp/Ankimo","Ankimo")</f>
        <v>Ankimo</v>
      </c>
      <c r="B49" s="451"/>
      <c r="C49" s="508">
        <v>245.0</v>
      </c>
      <c r="D49" s="508" t="s">
        <v>551</v>
      </c>
      <c r="E49" s="508" t="s">
        <v>551</v>
      </c>
      <c r="F49" s="508" t="s">
        <v>551</v>
      </c>
      <c r="G49" s="508" t="s">
        <v>551</v>
      </c>
      <c r="H49" s="508" t="s">
        <v>551</v>
      </c>
      <c r="I49" s="508" t="s">
        <v>551</v>
      </c>
      <c r="J49" s="508" t="s">
        <v>551</v>
      </c>
      <c r="K49" s="508">
        <v>8.0</v>
      </c>
      <c r="L49" s="508" t="s">
        <v>551</v>
      </c>
      <c r="M49" s="508" t="s">
        <v>551</v>
      </c>
      <c r="N49" s="508" t="s">
        <v>551</v>
      </c>
      <c r="O49" s="510" t="s">
        <v>2441</v>
      </c>
      <c r="P49" s="510" t="s">
        <v>437</v>
      </c>
    </row>
    <row r="50" ht="56.25" customHeight="1">
      <c r="A50" s="549" t="str">
        <f>HYPERLINK("https://azurlane.koumakan.jp/Gamers_Mark","Gamers Mark")</f>
        <v>Gamers Mark</v>
      </c>
      <c r="B50" s="451"/>
      <c r="C50" s="508">
        <v>550.0</v>
      </c>
      <c r="D50" s="508" t="s">
        <v>551</v>
      </c>
      <c r="E50" s="508" t="s">
        <v>551</v>
      </c>
      <c r="F50" s="508" t="s">
        <v>551</v>
      </c>
      <c r="G50" s="508" t="s">
        <v>551</v>
      </c>
      <c r="H50" s="508" t="s">
        <v>551</v>
      </c>
      <c r="I50" s="508" t="s">
        <v>551</v>
      </c>
      <c r="J50" s="508" t="s">
        <v>551</v>
      </c>
      <c r="K50" s="508" t="s">
        <v>551</v>
      </c>
      <c r="L50" s="508" t="s">
        <v>551</v>
      </c>
      <c r="M50" s="508" t="s">
        <v>551</v>
      </c>
      <c r="N50" s="508" t="s">
        <v>551</v>
      </c>
      <c r="O50" s="510" t="s">
        <v>2442</v>
      </c>
      <c r="P50" s="510" t="s">
        <v>437</v>
      </c>
    </row>
    <row r="51" ht="56.25" customHeight="1">
      <c r="A51" s="506" t="s">
        <v>2443</v>
      </c>
      <c r="B51" s="451"/>
      <c r="C51" s="508" t="s">
        <v>551</v>
      </c>
      <c r="D51" s="508" t="s">
        <v>551</v>
      </c>
      <c r="E51" s="508" t="s">
        <v>551</v>
      </c>
      <c r="F51" s="508">
        <v>70.0</v>
      </c>
      <c r="G51" s="508" t="s">
        <v>551</v>
      </c>
      <c r="H51" s="508" t="s">
        <v>551</v>
      </c>
      <c r="I51" s="508" t="s">
        <v>551</v>
      </c>
      <c r="J51" s="508">
        <v>15.0</v>
      </c>
      <c r="K51" s="508" t="s">
        <v>551</v>
      </c>
      <c r="L51" s="508" t="s">
        <v>551</v>
      </c>
      <c r="M51" s="508" t="s">
        <v>551</v>
      </c>
      <c r="N51" s="508" t="s">
        <v>551</v>
      </c>
      <c r="O51" s="510" t="s">
        <v>2444</v>
      </c>
      <c r="P51" s="510" t="s">
        <v>2445</v>
      </c>
    </row>
    <row r="52" ht="56.25" customHeight="1">
      <c r="A52" s="506" t="s">
        <v>2446</v>
      </c>
      <c r="B52" s="446"/>
      <c r="C52" s="508">
        <v>180.0</v>
      </c>
      <c r="D52" s="508">
        <v>20.0</v>
      </c>
      <c r="E52" s="508" t="s">
        <v>551</v>
      </c>
      <c r="F52" s="508" t="s">
        <v>551</v>
      </c>
      <c r="G52" s="508" t="s">
        <v>551</v>
      </c>
      <c r="H52" s="508" t="s">
        <v>551</v>
      </c>
      <c r="I52" s="508" t="s">
        <v>551</v>
      </c>
      <c r="J52" s="508" t="s">
        <v>551</v>
      </c>
      <c r="K52" s="508" t="s">
        <v>551</v>
      </c>
      <c r="L52" s="508" t="s">
        <v>551</v>
      </c>
      <c r="M52" s="508" t="s">
        <v>551</v>
      </c>
      <c r="N52" s="508" t="s">
        <v>551</v>
      </c>
      <c r="O52" s="510" t="s">
        <v>2447</v>
      </c>
      <c r="P52" s="510" t="s">
        <v>292</v>
      </c>
    </row>
    <row r="53" ht="56.25" customHeight="1">
      <c r="A53" s="512" t="str">
        <f>HYPERLINK("https://azurlane.koumakan.jp/Consolidated_PBY-5A_Catalina","PBY-5A Catalina")</f>
        <v>PBY-5A Catalina</v>
      </c>
      <c r="B53" s="446"/>
      <c r="C53" s="546" t="s">
        <v>551</v>
      </c>
      <c r="D53" s="546" t="s">
        <v>551</v>
      </c>
      <c r="E53" s="546" t="s">
        <v>551</v>
      </c>
      <c r="F53" s="546" t="s">
        <v>551</v>
      </c>
      <c r="G53" s="546" t="s">
        <v>551</v>
      </c>
      <c r="H53" s="546" t="s">
        <v>551</v>
      </c>
      <c r="I53" s="546" t="s">
        <v>551</v>
      </c>
      <c r="J53" s="546">
        <v>35.0</v>
      </c>
      <c r="K53" s="546" t="s">
        <v>551</v>
      </c>
      <c r="L53" s="546" t="s">
        <v>551</v>
      </c>
      <c r="M53" s="546">
        <v>30.0</v>
      </c>
      <c r="N53" s="546" t="s">
        <v>551</v>
      </c>
      <c r="O53" s="510" t="s">
        <v>2448</v>
      </c>
      <c r="P53" s="510" t="s">
        <v>296</v>
      </c>
    </row>
    <row r="54" ht="56.25" customHeight="1">
      <c r="A54" s="506" t="s">
        <v>2449</v>
      </c>
      <c r="B54" s="451"/>
      <c r="C54" s="546">
        <v>750.0</v>
      </c>
      <c r="D54" s="546" t="s">
        <v>551</v>
      </c>
      <c r="E54" s="546" t="s">
        <v>551</v>
      </c>
      <c r="F54" s="546" t="s">
        <v>551</v>
      </c>
      <c r="G54" s="546" t="s">
        <v>551</v>
      </c>
      <c r="H54" s="546" t="s">
        <v>551</v>
      </c>
      <c r="I54" s="546" t="s">
        <v>551</v>
      </c>
      <c r="J54" s="546" t="s">
        <v>551</v>
      </c>
      <c r="K54" s="546" t="s">
        <v>551</v>
      </c>
      <c r="L54" s="546" t="s">
        <v>551</v>
      </c>
      <c r="M54" s="546" t="s">
        <v>551</v>
      </c>
      <c r="N54" s="546" t="s">
        <v>551</v>
      </c>
      <c r="O54" s="510" t="s">
        <v>2450</v>
      </c>
      <c r="P54" s="510" t="s">
        <v>2451</v>
      </c>
    </row>
    <row r="55" ht="56.25" customHeight="1">
      <c r="A55" s="506" t="s">
        <v>2452</v>
      </c>
      <c r="B55" s="446"/>
      <c r="C55" s="546">
        <v>550.0</v>
      </c>
      <c r="D55" s="546" t="s">
        <v>551</v>
      </c>
      <c r="E55" s="546" t="s">
        <v>551</v>
      </c>
      <c r="F55" s="546" t="s">
        <v>551</v>
      </c>
      <c r="G55" s="546" t="s">
        <v>551</v>
      </c>
      <c r="H55" s="546" t="s">
        <v>551</v>
      </c>
      <c r="I55" s="546" t="s">
        <v>551</v>
      </c>
      <c r="J55" s="546" t="s">
        <v>551</v>
      </c>
      <c r="K55" s="546" t="s">
        <v>551</v>
      </c>
      <c r="L55" s="546" t="s">
        <v>551</v>
      </c>
      <c r="M55" s="546" t="s">
        <v>551</v>
      </c>
      <c r="N55" s="546" t="s">
        <v>551</v>
      </c>
      <c r="O55" s="510" t="s">
        <v>2453</v>
      </c>
      <c r="P55" s="510" t="s">
        <v>2451</v>
      </c>
    </row>
    <row r="56" ht="56.25" customHeight="1">
      <c r="A56" s="506" t="s">
        <v>2454</v>
      </c>
      <c r="B56" s="446"/>
      <c r="C56" s="546">
        <v>550.0</v>
      </c>
      <c r="D56" s="546" t="s">
        <v>551</v>
      </c>
      <c r="E56" s="546" t="s">
        <v>551</v>
      </c>
      <c r="F56" s="546" t="s">
        <v>551</v>
      </c>
      <c r="G56" s="546" t="s">
        <v>551</v>
      </c>
      <c r="H56" s="546" t="s">
        <v>551</v>
      </c>
      <c r="I56" s="546" t="s">
        <v>551</v>
      </c>
      <c r="J56" s="546" t="s">
        <v>551</v>
      </c>
      <c r="K56" s="546" t="s">
        <v>551</v>
      </c>
      <c r="L56" s="546" t="s">
        <v>551</v>
      </c>
      <c r="M56" s="546" t="s">
        <v>551</v>
      </c>
      <c r="N56" s="546" t="s">
        <v>551</v>
      </c>
      <c r="O56" s="510" t="s">
        <v>2455</v>
      </c>
      <c r="P56" s="510" t="s">
        <v>2451</v>
      </c>
    </row>
    <row r="57" ht="56.25" customHeight="1">
      <c r="A57" s="506" t="s">
        <v>2456</v>
      </c>
      <c r="B57" s="446"/>
      <c r="C57" s="546">
        <v>550.0</v>
      </c>
      <c r="D57" s="546" t="s">
        <v>551</v>
      </c>
      <c r="E57" s="546" t="s">
        <v>551</v>
      </c>
      <c r="F57" s="546" t="s">
        <v>551</v>
      </c>
      <c r="G57" s="546" t="s">
        <v>551</v>
      </c>
      <c r="H57" s="546" t="s">
        <v>551</v>
      </c>
      <c r="I57" s="546" t="s">
        <v>551</v>
      </c>
      <c r="J57" s="546" t="s">
        <v>551</v>
      </c>
      <c r="K57" s="546" t="s">
        <v>551</v>
      </c>
      <c r="L57" s="546" t="s">
        <v>551</v>
      </c>
      <c r="M57" s="546" t="s">
        <v>551</v>
      </c>
      <c r="N57" s="546" t="s">
        <v>551</v>
      </c>
      <c r="O57" s="510" t="s">
        <v>2457</v>
      </c>
      <c r="P57" s="510" t="s">
        <v>2451</v>
      </c>
    </row>
    <row r="58" ht="56.25" customHeight="1">
      <c r="A58" s="506" t="s">
        <v>2458</v>
      </c>
      <c r="B58" s="451"/>
      <c r="C58" s="546" t="s">
        <v>551</v>
      </c>
      <c r="D58" s="546" t="s">
        <v>551</v>
      </c>
      <c r="E58" s="546" t="s">
        <v>551</v>
      </c>
      <c r="F58" s="546" t="s">
        <v>551</v>
      </c>
      <c r="G58" s="546" t="s">
        <v>551</v>
      </c>
      <c r="H58" s="546" t="s">
        <v>551</v>
      </c>
      <c r="I58" s="546">
        <v>15.0</v>
      </c>
      <c r="J58" s="546">
        <v>25.0</v>
      </c>
      <c r="K58" s="546" t="s">
        <v>551</v>
      </c>
      <c r="L58" s="546" t="s">
        <v>551</v>
      </c>
      <c r="M58" s="546" t="s">
        <v>551</v>
      </c>
      <c r="N58" s="546" t="s">
        <v>551</v>
      </c>
      <c r="O58" s="510" t="s">
        <v>2459</v>
      </c>
      <c r="P58" s="510" t="s">
        <v>2460</v>
      </c>
    </row>
    <row r="59" ht="56.25" customHeight="1">
      <c r="A59" s="506" t="s">
        <v>2461</v>
      </c>
      <c r="B59" s="451"/>
      <c r="C59" s="546">
        <v>550.0</v>
      </c>
      <c r="D59" s="546" t="s">
        <v>551</v>
      </c>
      <c r="E59" s="546" t="s">
        <v>551</v>
      </c>
      <c r="F59" s="546" t="s">
        <v>551</v>
      </c>
      <c r="G59" s="546" t="s">
        <v>551</v>
      </c>
      <c r="H59" s="546" t="s">
        <v>551</v>
      </c>
      <c r="I59" s="546" t="s">
        <v>551</v>
      </c>
      <c r="J59" s="546" t="s">
        <v>551</v>
      </c>
      <c r="K59" s="546" t="s">
        <v>551</v>
      </c>
      <c r="L59" s="546" t="s">
        <v>551</v>
      </c>
      <c r="M59" s="546" t="s">
        <v>551</v>
      </c>
      <c r="N59" s="546" t="s">
        <v>551</v>
      </c>
      <c r="O59" s="510" t="s">
        <v>2462</v>
      </c>
      <c r="P59" s="510" t="s">
        <v>2463</v>
      </c>
    </row>
    <row r="60" ht="56.25" customHeight="1">
      <c r="A60" s="506" t="s">
        <v>2464</v>
      </c>
      <c r="B60" s="451"/>
      <c r="C60" s="546" t="s">
        <v>551</v>
      </c>
      <c r="D60" s="546" t="s">
        <v>551</v>
      </c>
      <c r="E60" s="546" t="s">
        <v>551</v>
      </c>
      <c r="F60" s="546" t="s">
        <v>551</v>
      </c>
      <c r="G60" s="546" t="s">
        <v>551</v>
      </c>
      <c r="H60" s="546" t="s">
        <v>551</v>
      </c>
      <c r="I60" s="546">
        <v>28.0</v>
      </c>
      <c r="J60" s="546" t="s">
        <v>551</v>
      </c>
      <c r="K60" s="546">
        <v>5.0</v>
      </c>
      <c r="L60" s="546" t="s">
        <v>551</v>
      </c>
      <c r="M60" s="546" t="s">
        <v>551</v>
      </c>
      <c r="N60" s="546" t="s">
        <v>551</v>
      </c>
      <c r="O60" s="510" t="s">
        <v>2462</v>
      </c>
      <c r="P60" s="510" t="s">
        <v>2463</v>
      </c>
    </row>
    <row r="61" ht="56.25" customHeight="1">
      <c r="A61" s="506" t="s">
        <v>2465</v>
      </c>
      <c r="B61" s="451"/>
      <c r="C61" s="546">
        <v>500.0</v>
      </c>
      <c r="D61" s="546" t="s">
        <v>551</v>
      </c>
      <c r="E61" s="546">
        <v>20.0</v>
      </c>
      <c r="F61" s="546" t="s">
        <v>551</v>
      </c>
      <c r="G61" s="546" t="s">
        <v>551</v>
      </c>
      <c r="H61" s="546" t="s">
        <v>551</v>
      </c>
      <c r="I61" s="546" t="s">
        <v>551</v>
      </c>
      <c r="J61" s="546" t="s">
        <v>551</v>
      </c>
      <c r="K61" s="546" t="s">
        <v>551</v>
      </c>
      <c r="L61" s="546" t="s">
        <v>551</v>
      </c>
      <c r="M61" s="546" t="s">
        <v>551</v>
      </c>
      <c r="N61" s="546" t="s">
        <v>551</v>
      </c>
      <c r="O61" s="510" t="s">
        <v>2466</v>
      </c>
      <c r="P61" s="510" t="s">
        <v>2421</v>
      </c>
    </row>
    <row r="62" ht="56.25" customHeight="1">
      <c r="A62" s="506" t="s">
        <v>2467</v>
      </c>
      <c r="B62" s="451"/>
      <c r="C62" s="546">
        <v>60.0</v>
      </c>
      <c r="D62" s="546" t="s">
        <v>551</v>
      </c>
      <c r="E62" s="546" t="s">
        <v>551</v>
      </c>
      <c r="F62" s="546" t="s">
        <v>551</v>
      </c>
      <c r="G62" s="546">
        <v>100.0</v>
      </c>
      <c r="H62" s="546" t="s">
        <v>551</v>
      </c>
      <c r="I62" s="546" t="s">
        <v>551</v>
      </c>
      <c r="J62" s="546" t="s">
        <v>551</v>
      </c>
      <c r="K62" s="546" t="s">
        <v>551</v>
      </c>
      <c r="L62" s="546" t="s">
        <v>551</v>
      </c>
      <c r="M62" s="546" t="s">
        <v>551</v>
      </c>
      <c r="N62" s="546" t="s">
        <v>551</v>
      </c>
      <c r="O62" s="510" t="s">
        <v>2468</v>
      </c>
      <c r="P62" s="510" t="s">
        <v>2421</v>
      </c>
    </row>
    <row r="63" ht="56.25" customHeight="1">
      <c r="A63" s="506" t="s">
        <v>2469</v>
      </c>
      <c r="B63" s="451"/>
      <c r="C63" s="546" t="s">
        <v>551</v>
      </c>
      <c r="D63" s="546" t="s">
        <v>551</v>
      </c>
      <c r="E63" s="546">
        <v>35.0</v>
      </c>
      <c r="F63" s="546" t="s">
        <v>551</v>
      </c>
      <c r="G63" s="546" t="s">
        <v>551</v>
      </c>
      <c r="H63" s="546" t="s">
        <v>551</v>
      </c>
      <c r="I63" s="546" t="s">
        <v>551</v>
      </c>
      <c r="J63" s="546">
        <v>30.0</v>
      </c>
      <c r="K63" s="546" t="s">
        <v>551</v>
      </c>
      <c r="L63" s="546" t="s">
        <v>551</v>
      </c>
      <c r="M63" s="546" t="s">
        <v>551</v>
      </c>
      <c r="N63" s="546" t="s">
        <v>551</v>
      </c>
      <c r="O63" s="510" t="s">
        <v>2441</v>
      </c>
      <c r="P63" s="510" t="s">
        <v>2460</v>
      </c>
    </row>
    <row r="64" ht="56.25" customHeight="1">
      <c r="A64" s="506" t="s">
        <v>2470</v>
      </c>
      <c r="B64" s="451"/>
      <c r="C64" s="546" t="s">
        <v>551</v>
      </c>
      <c r="D64" s="546">
        <v>50.0</v>
      </c>
      <c r="E64" s="546" t="s">
        <v>551</v>
      </c>
      <c r="F64" s="546" t="s">
        <v>551</v>
      </c>
      <c r="G64" s="546" t="s">
        <v>551</v>
      </c>
      <c r="H64" s="546" t="s">
        <v>551</v>
      </c>
      <c r="I64" s="546" t="s">
        <v>551</v>
      </c>
      <c r="J64" s="546">
        <v>20.0</v>
      </c>
      <c r="K64" s="546" t="s">
        <v>551</v>
      </c>
      <c r="L64" s="546" t="s">
        <v>551</v>
      </c>
      <c r="M64" s="546" t="s">
        <v>551</v>
      </c>
      <c r="N64" s="546" t="s">
        <v>551</v>
      </c>
      <c r="O64" s="510" t="s">
        <v>2471</v>
      </c>
      <c r="P64" s="510" t="s">
        <v>2421</v>
      </c>
    </row>
    <row r="65" ht="56.25" customHeight="1">
      <c r="A65" s="506" t="s">
        <v>2472</v>
      </c>
      <c r="B65" s="451"/>
      <c r="C65" s="546" t="s">
        <v>551</v>
      </c>
      <c r="D65" s="546" t="s">
        <v>551</v>
      </c>
      <c r="E65" s="546">
        <v>35.0</v>
      </c>
      <c r="F65" s="546" t="s">
        <v>551</v>
      </c>
      <c r="G65" s="546" t="s">
        <v>551</v>
      </c>
      <c r="H65" s="546" t="s">
        <v>551</v>
      </c>
      <c r="I65" s="546" t="s">
        <v>551</v>
      </c>
      <c r="J65" s="546">
        <v>30.0</v>
      </c>
      <c r="K65" s="546" t="s">
        <v>551</v>
      </c>
      <c r="L65" s="546" t="s">
        <v>551</v>
      </c>
      <c r="M65" s="546" t="s">
        <v>551</v>
      </c>
      <c r="N65" s="546" t="s">
        <v>551</v>
      </c>
      <c r="O65" s="510" t="s">
        <v>2441</v>
      </c>
      <c r="P65" s="510" t="s">
        <v>2463</v>
      </c>
    </row>
    <row r="66" ht="56.25" customHeight="1">
      <c r="A66" s="506" t="s">
        <v>2473</v>
      </c>
      <c r="B66" s="451"/>
      <c r="C66" s="546" t="s">
        <v>551</v>
      </c>
      <c r="D66" s="546" t="s">
        <v>551</v>
      </c>
      <c r="E66" s="546">
        <v>35.0</v>
      </c>
      <c r="F66" s="546" t="s">
        <v>551</v>
      </c>
      <c r="G66" s="546" t="s">
        <v>551</v>
      </c>
      <c r="H66" s="546" t="s">
        <v>551</v>
      </c>
      <c r="I66" s="546" t="s">
        <v>551</v>
      </c>
      <c r="J66" s="546">
        <v>30.0</v>
      </c>
      <c r="K66" s="546" t="s">
        <v>551</v>
      </c>
      <c r="L66" s="546" t="s">
        <v>551</v>
      </c>
      <c r="M66" s="546" t="s">
        <v>551</v>
      </c>
      <c r="N66" s="546" t="s">
        <v>551</v>
      </c>
      <c r="O66" s="510" t="s">
        <v>2441</v>
      </c>
      <c r="P66" s="510" t="s">
        <v>2463</v>
      </c>
    </row>
    <row r="67" ht="56.25" customHeight="1">
      <c r="A67" s="506" t="s">
        <v>2474</v>
      </c>
      <c r="B67" s="451"/>
      <c r="C67" s="546" t="s">
        <v>551</v>
      </c>
      <c r="D67" s="546" t="s">
        <v>551</v>
      </c>
      <c r="E67" s="546">
        <v>35.0</v>
      </c>
      <c r="F67" s="546" t="s">
        <v>551</v>
      </c>
      <c r="G67" s="546" t="s">
        <v>551</v>
      </c>
      <c r="H67" s="546" t="s">
        <v>551</v>
      </c>
      <c r="I67" s="546" t="s">
        <v>551</v>
      </c>
      <c r="J67" s="546">
        <v>30.0</v>
      </c>
      <c r="K67" s="546" t="s">
        <v>551</v>
      </c>
      <c r="L67" s="546" t="s">
        <v>551</v>
      </c>
      <c r="M67" s="546" t="s">
        <v>551</v>
      </c>
      <c r="N67" s="546" t="s">
        <v>551</v>
      </c>
      <c r="O67" s="510" t="s">
        <v>2441</v>
      </c>
      <c r="P67" s="510" t="s">
        <v>2463</v>
      </c>
    </row>
    <row r="68" ht="56.25" customHeight="1">
      <c r="A68" s="506" t="s">
        <v>2475</v>
      </c>
      <c r="B68" s="451"/>
      <c r="C68" s="546" t="s">
        <v>551</v>
      </c>
      <c r="D68" s="546" t="s">
        <v>551</v>
      </c>
      <c r="E68" s="546" t="s">
        <v>551</v>
      </c>
      <c r="F68" s="546" t="s">
        <v>551</v>
      </c>
      <c r="G68" s="546" t="s">
        <v>551</v>
      </c>
      <c r="H68" s="546" t="s">
        <v>551</v>
      </c>
      <c r="I68" s="546">
        <v>20.0</v>
      </c>
      <c r="J68" s="546">
        <v>30.0</v>
      </c>
      <c r="K68" s="546" t="s">
        <v>551</v>
      </c>
      <c r="L68" s="546" t="s">
        <v>551</v>
      </c>
      <c r="M68" s="546" t="s">
        <v>551</v>
      </c>
      <c r="N68" s="546" t="s">
        <v>551</v>
      </c>
      <c r="O68" s="510" t="s">
        <v>2476</v>
      </c>
      <c r="P68" s="510" t="s">
        <v>2421</v>
      </c>
    </row>
    <row r="69" ht="56.25" customHeight="1">
      <c r="A69" s="506" t="s">
        <v>2477</v>
      </c>
      <c r="B69" s="451"/>
      <c r="C69" s="546" t="s">
        <v>551</v>
      </c>
      <c r="D69" s="546" t="s">
        <v>551</v>
      </c>
      <c r="E69" s="546" t="s">
        <v>551</v>
      </c>
      <c r="F69" s="546" t="s">
        <v>551</v>
      </c>
      <c r="G69" s="546" t="s">
        <v>551</v>
      </c>
      <c r="H69" s="546" t="s">
        <v>551</v>
      </c>
      <c r="I69" s="546">
        <v>15.0</v>
      </c>
      <c r="J69" s="546">
        <v>25.0</v>
      </c>
      <c r="K69" s="546" t="s">
        <v>551</v>
      </c>
      <c r="L69" s="546" t="s">
        <v>551</v>
      </c>
      <c r="M69" s="546" t="s">
        <v>551</v>
      </c>
      <c r="N69" s="546" t="s">
        <v>551</v>
      </c>
      <c r="O69" s="510" t="s">
        <v>2478</v>
      </c>
      <c r="P69" s="510" t="s">
        <v>2479</v>
      </c>
    </row>
    <row r="70" ht="56.25" customHeight="1">
      <c r="A70" s="506" t="s">
        <v>2480</v>
      </c>
      <c r="B70" s="451"/>
      <c r="C70" s="546" t="s">
        <v>551</v>
      </c>
      <c r="D70" s="546">
        <v>26.0</v>
      </c>
      <c r="E70" s="546" t="s">
        <v>551</v>
      </c>
      <c r="F70" s="546" t="s">
        <v>551</v>
      </c>
      <c r="G70" s="546" t="s">
        <v>551</v>
      </c>
      <c r="H70" s="546" t="s">
        <v>551</v>
      </c>
      <c r="I70" s="546" t="s">
        <v>551</v>
      </c>
      <c r="J70" s="546">
        <v>29.0</v>
      </c>
      <c r="K70" s="546" t="s">
        <v>551</v>
      </c>
      <c r="L70" s="546" t="s">
        <v>551</v>
      </c>
      <c r="M70" s="546" t="s">
        <v>551</v>
      </c>
      <c r="N70" s="546" t="s">
        <v>551</v>
      </c>
      <c r="O70" s="510"/>
      <c r="P70" s="510" t="s">
        <v>2025</v>
      </c>
    </row>
    <row r="71" ht="56.25" customHeight="1">
      <c r="A71" s="542"/>
      <c r="B71" s="543"/>
      <c r="C71" s="550"/>
      <c r="D71" s="550"/>
      <c r="E71" s="550"/>
      <c r="F71" s="550"/>
      <c r="G71" s="550"/>
      <c r="H71" s="550"/>
      <c r="I71" s="550"/>
      <c r="J71" s="550"/>
      <c r="K71" s="550"/>
      <c r="L71" s="550"/>
      <c r="M71" s="550"/>
      <c r="N71" s="550"/>
      <c r="O71" s="510"/>
      <c r="P71" s="542"/>
    </row>
    <row r="72" ht="56.25" customHeight="1">
      <c r="A72" s="542"/>
      <c r="B72" s="543"/>
      <c r="C72" s="550"/>
      <c r="D72" s="550"/>
      <c r="E72" s="550"/>
      <c r="F72" s="550"/>
      <c r="G72" s="550"/>
      <c r="H72" s="550"/>
      <c r="I72" s="550"/>
      <c r="J72" s="550"/>
      <c r="K72" s="550"/>
      <c r="L72" s="550"/>
      <c r="M72" s="550"/>
      <c r="N72" s="550"/>
      <c r="O72" s="542"/>
      <c r="P72" s="542"/>
    </row>
  </sheetData>
  <conditionalFormatting sqref="C1:C72">
    <cfRule type="colorScale" priority="1">
      <colorScale>
        <cfvo type="min"/>
        <cfvo type="percentile" val="50"/>
        <cfvo type="max"/>
        <color rgb="FFE67C73"/>
        <color rgb="FFFFD666"/>
        <color rgb="FF57BB8A"/>
      </colorScale>
    </cfRule>
  </conditionalFormatting>
  <conditionalFormatting sqref="D1:D72">
    <cfRule type="colorScale" priority="2">
      <colorScale>
        <cfvo type="min"/>
        <cfvo type="percentile" val="50"/>
        <cfvo type="max"/>
        <color rgb="FFE67C73"/>
        <color rgb="FFFFD666"/>
        <color rgb="FF57BB8A"/>
      </colorScale>
    </cfRule>
  </conditionalFormatting>
  <conditionalFormatting sqref="E1:E72">
    <cfRule type="colorScale" priority="3">
      <colorScale>
        <cfvo type="min"/>
        <cfvo type="percentile" val="50"/>
        <cfvo type="max"/>
        <color rgb="FFE67C73"/>
        <color rgb="FFFFD666"/>
        <color rgb="FF57BB8A"/>
      </colorScale>
    </cfRule>
  </conditionalFormatting>
  <conditionalFormatting sqref="F1:F72">
    <cfRule type="colorScale" priority="4">
      <colorScale>
        <cfvo type="min"/>
        <cfvo type="percentile" val="50"/>
        <cfvo type="max"/>
        <color rgb="FFE67C73"/>
        <color rgb="FFFFD666"/>
        <color rgb="FF57BB8A"/>
      </colorScale>
    </cfRule>
  </conditionalFormatting>
  <conditionalFormatting sqref="G1:G72">
    <cfRule type="colorScale" priority="5">
      <colorScale>
        <cfvo type="min"/>
        <cfvo type="percentile" val="50"/>
        <cfvo type="max"/>
        <color rgb="FFE67C73"/>
        <color rgb="FFFFD666"/>
        <color rgb="FF57BB8A"/>
      </colorScale>
    </cfRule>
  </conditionalFormatting>
  <conditionalFormatting sqref="H1:H72">
    <cfRule type="colorScale" priority="6">
      <colorScale>
        <cfvo type="min"/>
        <cfvo type="percentile" val="50"/>
        <cfvo type="max"/>
        <color rgb="FFE67C73"/>
        <color rgb="FFFFD666"/>
        <color rgb="FF57BB8A"/>
      </colorScale>
    </cfRule>
  </conditionalFormatting>
  <conditionalFormatting sqref="I1:I72">
    <cfRule type="colorScale" priority="7">
      <colorScale>
        <cfvo type="min"/>
        <cfvo type="percentile" val="50"/>
        <cfvo type="max"/>
        <color rgb="FFE67C73"/>
        <color rgb="FFFFD666"/>
        <color rgb="FF57BB8A"/>
      </colorScale>
    </cfRule>
  </conditionalFormatting>
  <conditionalFormatting sqref="N1:N72">
    <cfRule type="colorScale" priority="8">
      <colorScale>
        <cfvo type="min"/>
        <cfvo type="percentile" val="50"/>
        <cfvo type="max"/>
        <color rgb="FFE67C73"/>
        <color rgb="FFFFD666"/>
        <color rgb="FF57BB8A"/>
      </colorScale>
    </cfRule>
  </conditionalFormatting>
  <conditionalFormatting sqref="J1:J72">
    <cfRule type="colorScale" priority="9">
      <colorScale>
        <cfvo type="min"/>
        <cfvo type="percentile" val="50"/>
        <cfvo type="max"/>
        <color rgb="FFE67C73"/>
        <color rgb="FFFFD666"/>
        <color rgb="FF57BB8A"/>
      </colorScale>
    </cfRule>
  </conditionalFormatting>
  <conditionalFormatting sqref="K1:K72">
    <cfRule type="colorScale" priority="10">
      <colorScale>
        <cfvo type="min"/>
        <cfvo type="percentile" val="50"/>
        <cfvo type="max"/>
        <color rgb="FFE67C73"/>
        <color rgb="FFFFD666"/>
        <color rgb="FF57BB8A"/>
      </colorScale>
    </cfRule>
  </conditionalFormatting>
  <conditionalFormatting sqref="L1:L72">
    <cfRule type="colorScale" priority="11">
      <colorScale>
        <cfvo type="min"/>
        <cfvo type="percentile" val="50"/>
        <cfvo type="max"/>
        <color rgb="FFE67C73"/>
        <color rgb="FFFFD666"/>
        <color rgb="FF57BB8A"/>
      </colorScale>
    </cfRule>
  </conditionalFormatting>
  <conditionalFormatting sqref="M1:M72">
    <cfRule type="colorScale" priority="12">
      <colorScale>
        <cfvo type="min"/>
        <cfvo type="percentile" val="50"/>
        <cfvo type="max"/>
        <color rgb="FFE67C73"/>
        <color rgb="FFFFD666"/>
        <color rgb="FF57BB8A"/>
      </colorScale>
    </cfRule>
  </conditionalFormatting>
  <hyperlinks>
    <hyperlink r:id="rId2" ref="A25"/>
    <hyperlink r:id="rId3" ref="A51"/>
    <hyperlink r:id="rId4" ref="A52"/>
    <hyperlink r:id="rId5" ref="A54"/>
    <hyperlink r:id="rId6" ref="A55"/>
    <hyperlink r:id="rId7" ref="A56"/>
    <hyperlink r:id="rId8" ref="A57"/>
    <hyperlink r:id="rId9" ref="A58"/>
    <hyperlink r:id="rId10" ref="A59"/>
    <hyperlink r:id="rId11" ref="A60"/>
    <hyperlink r:id="rId12" ref="A61"/>
    <hyperlink r:id="rId13" ref="A62"/>
    <hyperlink r:id="rId14" ref="A63"/>
    <hyperlink r:id="rId15" ref="A64"/>
    <hyperlink r:id="rId16" ref="A65"/>
    <hyperlink r:id="rId17" ref="A66"/>
    <hyperlink r:id="rId18" ref="A67"/>
    <hyperlink r:id="rId19" ref="A68"/>
    <hyperlink r:id="rId20" ref="A70"/>
  </hyperlinks>
  <drawing r:id="rId21"/>
  <legacyDrawing r:id="rId22"/>
  <tableParts count="1">
    <tablePart r:id="rId24"/>
  </tableParts>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00"/>
    <outlinePr summaryBelow="0" summaryRight="0"/>
  </sheetPr>
  <sheetViews>
    <sheetView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4.43" defaultRowHeight="15.75"/>
  <cols>
    <col customWidth="1" min="1" max="1" width="19.71"/>
    <col customWidth="1" min="2" max="2" width="10.86"/>
    <col customWidth="1" min="3" max="3" width="8.43"/>
    <col customWidth="1" min="4" max="4" width="7.43"/>
    <col customWidth="1" min="5" max="5" width="8.29"/>
    <col customWidth="1" min="6" max="6" width="16.57"/>
    <col customWidth="1" min="7" max="7" width="43.14"/>
  </cols>
  <sheetData>
    <row r="1">
      <c r="A1" s="503" t="s">
        <v>1834</v>
      </c>
      <c r="B1" s="503" t="s">
        <v>1835</v>
      </c>
      <c r="C1" s="503" t="s">
        <v>2347</v>
      </c>
      <c r="D1" s="503" t="s">
        <v>1837</v>
      </c>
      <c r="E1" s="503" t="s">
        <v>2348</v>
      </c>
      <c r="F1" s="503" t="s">
        <v>23</v>
      </c>
      <c r="G1" s="551" t="s">
        <v>26</v>
      </c>
    </row>
    <row r="2" ht="56.25" customHeight="1">
      <c r="A2" s="512" t="str">
        <f>HYPERLINK("https://azurlane.koumakan.jp/Basic_Depth_Charge#Type_3","Basic Depth Charge")</f>
        <v>Basic Depth Charge</v>
      </c>
      <c r="B2" s="552"/>
      <c r="C2" s="553" t="s">
        <v>2481</v>
      </c>
      <c r="D2" s="553">
        <v>3.78</v>
      </c>
      <c r="E2" s="554">
        <v>29.37</v>
      </c>
      <c r="F2" s="510"/>
      <c r="G2" s="510"/>
    </row>
    <row r="3" ht="56.25" customHeight="1">
      <c r="A3" s="512" t="str">
        <f>HYPERLINK("https://azurlane.koumakan.jp/Improved_Depth_Charge#Type_2","Improved Depth Charge")</f>
        <v>Improved Depth Charge</v>
      </c>
      <c r="B3" s="555"/>
      <c r="C3" s="553" t="s">
        <v>2004</v>
      </c>
      <c r="D3" s="553">
        <v>3.68</v>
      </c>
      <c r="E3" s="554">
        <v>31.79</v>
      </c>
      <c r="F3" s="510"/>
      <c r="G3" s="510"/>
    </row>
    <row r="4" ht="56.25" customHeight="1">
      <c r="A4" s="512" t="str">
        <f>HYPERLINK("https://azurlane.koumakan.jp/Improved_Depth_Charge#Type_3","Improved Depth Charge")</f>
        <v>Improved Depth Charge</v>
      </c>
      <c r="B4" s="556"/>
      <c r="C4" s="553" t="s">
        <v>2482</v>
      </c>
      <c r="D4" s="553">
        <v>2.99</v>
      </c>
      <c r="E4" s="554">
        <v>61.2</v>
      </c>
      <c r="F4" s="510"/>
      <c r="G4" s="510"/>
    </row>
    <row r="5" ht="56.25" customHeight="1">
      <c r="A5" s="512" t="str">
        <f>HYPERLINK("https://azurlane.koumakan.jp/Fairey_Swordfish_Mk_II-ASV_(ASW)#Type_2","Swordfish Mark II-ASV")</f>
        <v>Swordfish Mark II-ASV</v>
      </c>
      <c r="B5" s="555"/>
      <c r="C5" s="553">
        <v>69.0</v>
      </c>
      <c r="D5" s="553">
        <v>3.76</v>
      </c>
      <c r="E5" s="554">
        <v>18.35</v>
      </c>
      <c r="F5" s="510"/>
      <c r="G5" s="510" t="s">
        <v>2483</v>
      </c>
    </row>
    <row r="6" ht="56.25" customHeight="1">
      <c r="A6" s="512" t="str">
        <f>HYPERLINK("https://azurlane.koumakan.jp/General_Motors_TBM-3_Avenger_(ASW)#Type_2","TBM-3 Avenger (ASW)")</f>
        <v>TBM-3 Avenger (ASW)</v>
      </c>
      <c r="B6" s="555"/>
      <c r="C6" s="553">
        <v>64.0</v>
      </c>
      <c r="D6" s="553">
        <v>3.51</v>
      </c>
      <c r="E6" s="554">
        <v>18.23</v>
      </c>
      <c r="F6" s="510"/>
      <c r="G6" s="510" t="s">
        <v>2484</v>
      </c>
    </row>
    <row r="7" ht="56.25" customHeight="1">
      <c r="A7" s="512" t="str">
        <f>HYPERLINK("https://azurlane.koumakan.jp/Fairey_Swordfish_Mk_II-ASV_(ASW)#Type_3","Swordfish Mark II-ASV")</f>
        <v>Swordfish Mark II-ASV</v>
      </c>
      <c r="B7" s="556"/>
      <c r="C7" s="553">
        <v>112.0</v>
      </c>
      <c r="D7" s="553">
        <v>3.06</v>
      </c>
      <c r="E7" s="554">
        <v>36.6</v>
      </c>
      <c r="F7" s="510"/>
      <c r="G7" s="510" t="s">
        <v>2483</v>
      </c>
    </row>
    <row r="8" ht="56.25" customHeight="1">
      <c r="A8" s="512" t="str">
        <f>HYPERLINK("https://azurlane.koumakan.jp/General_Motors_TBM-3_Avenger_(ASW)#Type_3","TBM-3 Avenger (ASW)")</f>
        <v>TBM-3 Avenger (ASW)</v>
      </c>
      <c r="B8" s="556"/>
      <c r="C8" s="553">
        <v>96.0</v>
      </c>
      <c r="D8" s="553">
        <v>2.86</v>
      </c>
      <c r="E8" s="554">
        <v>33.57</v>
      </c>
      <c r="F8" s="510"/>
      <c r="G8" s="510" t="s">
        <v>2484</v>
      </c>
    </row>
    <row r="9" ht="56.25" customHeight="1">
      <c r="A9" s="506" t="s">
        <v>2485</v>
      </c>
      <c r="B9" s="557"/>
      <c r="C9" s="510">
        <v>279.0</v>
      </c>
      <c r="D9" s="510">
        <v>3.33</v>
      </c>
      <c r="E9" s="546">
        <v>83.78</v>
      </c>
      <c r="F9" s="510" t="s">
        <v>2271</v>
      </c>
      <c r="G9" s="510" t="s">
        <v>2486</v>
      </c>
    </row>
    <row r="10" ht="56.25" customHeight="1">
      <c r="A10" s="512" t="str">
        <f>HYPERLINK("https://azurlane.koumakan.jp/Flettner_Fl_282_Kolibri","Flettner FI 282")</f>
        <v>Flettner FI 282</v>
      </c>
      <c r="B10" s="556"/>
      <c r="C10" s="558" t="s">
        <v>551</v>
      </c>
      <c r="D10" s="558" t="s">
        <v>551</v>
      </c>
      <c r="E10" s="558" t="s">
        <v>551</v>
      </c>
      <c r="F10" s="510" t="s">
        <v>2487</v>
      </c>
      <c r="G10" s="510" t="s">
        <v>2488</v>
      </c>
    </row>
    <row r="11" ht="56.25" customHeight="1">
      <c r="A11" s="512" t="str">
        <f>HYPERLINK("https://azurlane.koumakan.jp/Basic_Sonar#Type_2","Basic Sonar")</f>
        <v>Basic Sonar</v>
      </c>
      <c r="B11" s="555"/>
      <c r="C11" s="553" t="s">
        <v>551</v>
      </c>
      <c r="D11" s="553">
        <v>4.8</v>
      </c>
      <c r="E11" s="553" t="s">
        <v>551</v>
      </c>
      <c r="F11" s="514"/>
      <c r="G11" s="510" t="s">
        <v>2489</v>
      </c>
    </row>
    <row r="12" ht="56.25" customHeight="1">
      <c r="A12" s="512" t="str">
        <f>HYPERLINK("https://azurlane.koumakan.jp/Basic_Sonar#Type_3","Basic Sonar")</f>
        <v>Basic Sonar</v>
      </c>
      <c r="B12" s="556"/>
      <c r="C12" s="553" t="s">
        <v>551</v>
      </c>
      <c r="D12" s="553">
        <v>4.5</v>
      </c>
      <c r="E12" s="553" t="s">
        <v>551</v>
      </c>
      <c r="F12" s="514"/>
      <c r="G12" s="510" t="s">
        <v>2490</v>
      </c>
    </row>
    <row r="13" ht="56.25" customHeight="1">
      <c r="A13" s="512" t="str">
        <f>HYPERLINK("https://azurlane.koumakan.jp/Improved_Sonar","Improved Sonar")</f>
        <v>Improved Sonar</v>
      </c>
      <c r="B13" s="555"/>
      <c r="C13" s="553" t="s">
        <v>551</v>
      </c>
      <c r="D13" s="553">
        <v>4.0</v>
      </c>
      <c r="E13" s="553" t="s">
        <v>551</v>
      </c>
      <c r="F13" s="510"/>
      <c r="G13" s="510" t="s">
        <v>2491</v>
      </c>
    </row>
    <row r="14" ht="56.25" customHeight="1">
      <c r="A14" s="512" t="str">
        <f>HYPERLINK("https://azurlane.koumakan.jp/Improved_Sonar#Type_2","Improved Sonar")</f>
        <v>Improved Sonar</v>
      </c>
      <c r="B14" s="556"/>
      <c r="C14" s="553" t="s">
        <v>551</v>
      </c>
      <c r="D14" s="553">
        <v>3.8</v>
      </c>
      <c r="E14" s="553" t="s">
        <v>551</v>
      </c>
      <c r="F14" s="510"/>
      <c r="G14" s="510" t="s">
        <v>2491</v>
      </c>
    </row>
    <row r="15" ht="56.25" customHeight="1">
      <c r="A15" s="512" t="str">
        <f>HYPERLINK("https://azurlane.koumakan.jp/Improved_Sonar#Type_3","Improved Sonar")</f>
        <v>Improved Sonar</v>
      </c>
      <c r="B15" s="559"/>
      <c r="C15" s="553" t="s">
        <v>551</v>
      </c>
      <c r="D15" s="553">
        <v>3.5</v>
      </c>
      <c r="E15" s="553" t="s">
        <v>551</v>
      </c>
      <c r="F15" s="510"/>
      <c r="G15" s="510" t="s">
        <v>2492</v>
      </c>
    </row>
    <row r="16" ht="56.25" customHeight="1">
      <c r="A16" s="542"/>
      <c r="B16" s="544"/>
      <c r="C16" s="544"/>
      <c r="D16" s="544"/>
      <c r="E16" s="544"/>
      <c r="F16" s="542"/>
      <c r="G16" s="542"/>
    </row>
    <row r="17" ht="56.25" customHeight="1">
      <c r="A17" s="542"/>
      <c r="B17" s="544"/>
      <c r="C17" s="544"/>
      <c r="D17" s="544"/>
      <c r="E17" s="544"/>
      <c r="F17" s="542"/>
      <c r="G17" s="542"/>
    </row>
  </sheetData>
  <conditionalFormatting sqref="E1:E17 C11:C14">
    <cfRule type="colorScale" priority="1">
      <colorScale>
        <cfvo type="min"/>
        <cfvo type="percentile" val="50"/>
        <cfvo type="max"/>
        <color rgb="FFE67C73"/>
        <color rgb="FFFFD666"/>
        <color rgb="FF57BB8A"/>
      </colorScale>
    </cfRule>
  </conditionalFormatting>
  <hyperlinks>
    <hyperlink r:id="rId1" ref="A9"/>
  </hyperlinks>
  <drawing r:id="rId2"/>
  <tableParts count="1">
    <tablePart r:id="rId4"/>
  </tableParts>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00FF"/>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12.29"/>
    <col customWidth="1" min="2" max="2" width="19.71"/>
    <col customWidth="1" min="3" max="6" width="10.86"/>
    <col customWidth="1" min="7" max="7" width="17.71"/>
    <col customWidth="1" min="8" max="10" width="35.86"/>
    <col customWidth="1" min="11" max="11" width="10.57"/>
    <col customWidth="1" min="12" max="12" width="40.29"/>
  </cols>
  <sheetData>
    <row r="1">
      <c r="A1" s="560" t="s">
        <v>2493</v>
      </c>
      <c r="B1" s="561" t="s">
        <v>2383</v>
      </c>
      <c r="C1" s="562" t="s">
        <v>2494</v>
      </c>
      <c r="D1" s="561" t="s">
        <v>2495</v>
      </c>
      <c r="E1" s="561" t="s">
        <v>2496</v>
      </c>
      <c r="F1" s="561" t="s">
        <v>2497</v>
      </c>
      <c r="G1" s="561" t="s">
        <v>2498</v>
      </c>
      <c r="H1" s="561" t="s">
        <v>2499</v>
      </c>
      <c r="I1" s="561" t="s">
        <v>2500</v>
      </c>
      <c r="J1" s="561" t="s">
        <v>2501</v>
      </c>
      <c r="K1" s="561" t="s">
        <v>2502</v>
      </c>
      <c r="L1" s="561" t="s">
        <v>2503</v>
      </c>
    </row>
    <row r="2" ht="59.25" customHeight="1">
      <c r="A2" s="563" t="str">
        <f>image("https://azurlane.koumakan.jp/w/images/b/b9/JusticeIcon.png",2)</f>
        <v/>
      </c>
      <c r="B2" s="564" t="str">
        <f>HYPERLINK("https://azurlane.koumakan.jp/Justice","Justice")</f>
        <v>Justice</v>
      </c>
      <c r="C2" s="565" t="str">
        <f t="shared" ref="C2:C3" si="1">image("https://azurlane.koumakan.jp/w/images/1/17/Us_1.png",2)</f>
        <v/>
      </c>
      <c r="D2" s="553">
        <v>144.0</v>
      </c>
      <c r="E2" s="553">
        <v>171.0</v>
      </c>
      <c r="F2" s="510">
        <v>171.0</v>
      </c>
      <c r="G2" s="553" t="s">
        <v>2504</v>
      </c>
      <c r="H2" s="553" t="s">
        <v>2505</v>
      </c>
      <c r="I2" s="553" t="s">
        <v>2506</v>
      </c>
      <c r="J2" s="553" t="s">
        <v>2507</v>
      </c>
      <c r="K2" s="566">
        <v>0.43333333333333335</v>
      </c>
      <c r="L2" s="553" t="s">
        <v>2508</v>
      </c>
    </row>
    <row r="3" ht="59.25" customHeight="1">
      <c r="A3" s="563" t="str">
        <f>image("https://azurlane.koumakan.jp/w/images/e/ef/AntennaIcon.png",2)</f>
        <v/>
      </c>
      <c r="B3" s="564" t="str">
        <f>HYPERLINK("https://azurlane.koumakan.jp/Antenna","Antenna")</f>
        <v>Antenna</v>
      </c>
      <c r="C3" s="565" t="str">
        <f t="shared" si="1"/>
        <v/>
      </c>
      <c r="D3" s="553">
        <v>141.0</v>
      </c>
      <c r="E3" s="553">
        <v>210.0</v>
      </c>
      <c r="F3" s="510">
        <v>180.0</v>
      </c>
      <c r="G3" s="553" t="s">
        <v>2509</v>
      </c>
      <c r="H3" s="553" t="s">
        <v>2510</v>
      </c>
      <c r="I3" s="553" t="s">
        <v>2511</v>
      </c>
      <c r="J3" s="553" t="s">
        <v>2512</v>
      </c>
      <c r="K3" s="566">
        <v>0.4479166666666667</v>
      </c>
      <c r="L3" s="553" t="s">
        <v>2513</v>
      </c>
    </row>
    <row r="4" ht="59.25" customHeight="1">
      <c r="A4" s="563" t="str">
        <f>image("https://azurlane.koumakan.jp/w/images/d/d7/LimeIcon.png",2)</f>
        <v/>
      </c>
      <c r="B4" s="564" t="str">
        <f>HYPERLINK("https://azurlane.koumakan.jp/Lime","Lime")</f>
        <v>Lime</v>
      </c>
      <c r="C4" s="567" t="str">
        <f t="shared" ref="C4:C5" si="2">image("https://azurlane.koumakan.jp/w/images/9/99/En_1.png",2)</f>
        <v/>
      </c>
      <c r="D4" s="553">
        <v>180.0</v>
      </c>
      <c r="E4" s="553">
        <v>171.0</v>
      </c>
      <c r="F4" s="510">
        <v>190.0</v>
      </c>
      <c r="G4" s="553" t="s">
        <v>2514</v>
      </c>
      <c r="H4" s="553" t="s">
        <v>2515</v>
      </c>
      <c r="I4" s="553" t="s">
        <v>2516</v>
      </c>
      <c r="J4" s="553" t="s">
        <v>2517</v>
      </c>
      <c r="K4" s="566">
        <v>0.4201388888888889</v>
      </c>
      <c r="L4" s="553" t="s">
        <v>2518</v>
      </c>
    </row>
    <row r="5" ht="59.25" customHeight="1">
      <c r="A5" s="563" t="str">
        <f>image("https://azurlane.koumakan.jp/w/images/1/11/PoundIcon.png",2)</f>
        <v/>
      </c>
      <c r="B5" s="564" t="str">
        <f>HYPERLINK("https://azurlane.koumakan.jp/Pound","Pound")</f>
        <v>Pound</v>
      </c>
      <c r="C5" s="567" t="str">
        <f t="shared" si="2"/>
        <v/>
      </c>
      <c r="D5" s="510">
        <v>220.0</v>
      </c>
      <c r="E5" s="510">
        <v>194.0</v>
      </c>
      <c r="F5" s="510">
        <v>118.0</v>
      </c>
      <c r="G5" s="553" t="s">
        <v>2519</v>
      </c>
      <c r="H5" s="510" t="s">
        <v>2520</v>
      </c>
      <c r="I5" s="510" t="s">
        <v>2521</v>
      </c>
      <c r="J5" s="510" t="s">
        <v>2522</v>
      </c>
      <c r="K5" s="566">
        <v>0.4354166666666667</v>
      </c>
      <c r="L5" s="553" t="s">
        <v>2523</v>
      </c>
    </row>
    <row r="6" ht="59.25" customHeight="1">
      <c r="A6" s="563" t="str">
        <f>image("https://azurlane.koumakan.jp/w/images/b/b6/BishamaruIcon.png",2)</f>
        <v/>
      </c>
      <c r="B6" s="564" t="str">
        <f>HYPERLINK("https://azurlane.koumakan.jp/Bishamaru","Bishamaru")</f>
        <v>Bishamaru</v>
      </c>
      <c r="C6" s="568" t="str">
        <f t="shared" ref="C6:C7" si="3">image("https://azurlane.koumakan.jp/w/images/e/e5/Jp_1.png",2)</f>
        <v/>
      </c>
      <c r="D6" s="553">
        <v>125.0</v>
      </c>
      <c r="E6" s="553">
        <v>161.0</v>
      </c>
      <c r="F6" s="510">
        <v>223.0</v>
      </c>
      <c r="G6" s="553" t="s">
        <v>2524</v>
      </c>
      <c r="H6" s="553" t="s">
        <v>2525</v>
      </c>
      <c r="I6" s="553" t="s">
        <v>2526</v>
      </c>
      <c r="J6" s="553" t="s">
        <v>2527</v>
      </c>
      <c r="K6" s="566">
        <v>0.4152777777777778</v>
      </c>
      <c r="L6" s="553" t="s">
        <v>2528</v>
      </c>
    </row>
    <row r="7" ht="59.25" customHeight="1">
      <c r="A7" s="563" t="str">
        <f>image("https://azurlane.koumakan.jp/w/images/1/16/TakemaruIcon.png",2)</f>
        <v/>
      </c>
      <c r="B7" s="569" t="str">
        <f>HYPERLINK("https://azurlane.koumakan.jp/Takemaru","Takemaru")</f>
        <v>Takemaru</v>
      </c>
      <c r="C7" s="568" t="str">
        <f t="shared" si="3"/>
        <v/>
      </c>
      <c r="D7" s="570">
        <v>98.0</v>
      </c>
      <c r="E7" s="571">
        <v>203.0</v>
      </c>
      <c r="F7" s="520">
        <v>217.0</v>
      </c>
      <c r="G7" s="570" t="s">
        <v>2529</v>
      </c>
      <c r="H7" s="572" t="s">
        <v>2530</v>
      </c>
      <c r="I7" s="573" t="s">
        <v>2531</v>
      </c>
      <c r="J7" s="570" t="s">
        <v>2532</v>
      </c>
      <c r="K7" s="574">
        <v>0.4027777777777778</v>
      </c>
      <c r="L7" s="570" t="s">
        <v>2533</v>
      </c>
    </row>
    <row r="8" ht="59.25" customHeight="1">
      <c r="A8" s="563" t="str">
        <f>image("https://azurlane.koumakan.jp/w/images/3/37/SteelIcon.png",2)</f>
        <v/>
      </c>
      <c r="B8" s="564" t="str">
        <f>HYPERLINK("https://azurlane.koumakan.jp/Steel","Steel")</f>
        <v>Steel</v>
      </c>
      <c r="C8" s="422" t="str">
        <f t="shared" ref="C8:C9" si="4">image("https://azurlane.koumakan.jp/w/images/0/04/De_1.png",2)</f>
        <v/>
      </c>
      <c r="D8" s="553">
        <v>131.0</v>
      </c>
      <c r="E8" s="553">
        <v>217.0</v>
      </c>
      <c r="F8" s="510">
        <v>171.0</v>
      </c>
      <c r="G8" s="553" t="s">
        <v>1779</v>
      </c>
      <c r="H8" s="553" t="s">
        <v>2534</v>
      </c>
      <c r="I8" s="553" t="s">
        <v>2535</v>
      </c>
      <c r="J8" s="553" t="s">
        <v>2536</v>
      </c>
      <c r="K8" s="574">
        <v>0.3993055555555556</v>
      </c>
      <c r="L8" s="553" t="s">
        <v>2537</v>
      </c>
    </row>
    <row r="9" ht="59.25" customHeight="1">
      <c r="A9" s="563" t="str">
        <f>image("https://azurlane.koumakan.jp/w/images/5/5a/OscarIcon.png",2)</f>
        <v/>
      </c>
      <c r="B9" s="564" t="str">
        <f>HYPERLINK("https://azurlane.koumakan.jp/Oscar","Oscar")</f>
        <v>Oscar</v>
      </c>
      <c r="C9" s="422" t="str">
        <f t="shared" si="4"/>
        <v/>
      </c>
      <c r="D9" s="553">
        <v>101.0</v>
      </c>
      <c r="E9" s="553">
        <v>217.0</v>
      </c>
      <c r="F9" s="510">
        <v>177.0</v>
      </c>
      <c r="G9" s="553" t="s">
        <v>2538</v>
      </c>
      <c r="H9" s="553" t="s">
        <v>2539</v>
      </c>
      <c r="I9" s="553" t="s">
        <v>2540</v>
      </c>
      <c r="J9" s="553" t="s">
        <v>2541</v>
      </c>
      <c r="K9" s="566">
        <v>0.41875</v>
      </c>
      <c r="L9" s="553" t="s">
        <v>2518</v>
      </c>
    </row>
    <row r="10" ht="59.25" customHeight="1">
      <c r="A10" s="575" t="str">
        <f t="shared" ref="A10:A11" si="5">image("https://azurlane.koumakan.jp/w/images/f/f5/EagleUnionMeowficerIcon.png",2)</f>
        <v/>
      </c>
      <c r="B10" s="564" t="str">
        <f>HYPERLINK("https://azurlane.koumakan.jp/Bunny","Bunny")</f>
        <v>Bunny</v>
      </c>
      <c r="C10" s="565" t="str">
        <f t="shared" ref="C10:C11" si="6">image("https://azurlane.koumakan.jp/w/images/1/17/Us_1.png",2)</f>
        <v/>
      </c>
      <c r="D10" s="553">
        <v>141.0</v>
      </c>
      <c r="E10" s="553">
        <v>180.0</v>
      </c>
      <c r="F10" s="510">
        <v>118.0</v>
      </c>
      <c r="G10" s="553" t="s">
        <v>2542</v>
      </c>
      <c r="H10" s="553" t="s">
        <v>2506</v>
      </c>
      <c r="I10" s="553" t="s">
        <v>2543</v>
      </c>
      <c r="J10" s="553" t="s">
        <v>2544</v>
      </c>
      <c r="K10" s="566">
        <v>0.25625</v>
      </c>
      <c r="L10" s="553" t="s">
        <v>2545</v>
      </c>
    </row>
    <row r="11" ht="59.25" customHeight="1">
      <c r="A11" s="575" t="str">
        <f t="shared" si="5"/>
        <v/>
      </c>
      <c r="B11" s="564" t="str">
        <f>HYPERLINK("https://azurlane.koumakan.jp/Eagle","Eagle")</f>
        <v>Eagle</v>
      </c>
      <c r="C11" s="565" t="str">
        <f t="shared" si="6"/>
        <v/>
      </c>
      <c r="D11" s="553">
        <v>108.0</v>
      </c>
      <c r="E11" s="553">
        <v>171.0</v>
      </c>
      <c r="F11" s="510">
        <v>161.0</v>
      </c>
      <c r="G11" s="553" t="s">
        <v>2546</v>
      </c>
      <c r="H11" s="553" t="s">
        <v>2547</v>
      </c>
      <c r="I11" s="553" t="s">
        <v>2548</v>
      </c>
      <c r="J11" s="553" t="s">
        <v>2549</v>
      </c>
      <c r="K11" s="566">
        <v>0.23333333333333334</v>
      </c>
      <c r="L11" s="553" t="s">
        <v>2550</v>
      </c>
    </row>
    <row r="12" ht="59.25" customHeight="1">
      <c r="A12" s="575" t="str">
        <f t="shared" ref="A12:A15" si="7">image("https://azurlane.koumakan.jp/w/images/b/ba/RoyalNavyMeowficerIcon.png",2)</f>
        <v/>
      </c>
      <c r="B12" s="564" t="str">
        <f>HYPERLINK("https://azurlane.koumakan.jp/Pepper","Pepper")</f>
        <v>Pepper</v>
      </c>
      <c r="C12" s="567" t="str">
        <f t="shared" ref="C12:C15" si="8">image("https://azurlane.koumakan.jp/w/images/9/99/En_1.png",2)</f>
        <v/>
      </c>
      <c r="D12" s="553">
        <v>144.0</v>
      </c>
      <c r="E12" s="553">
        <v>164.0</v>
      </c>
      <c r="F12" s="510">
        <v>148.0</v>
      </c>
      <c r="G12" s="553" t="s">
        <v>2551</v>
      </c>
      <c r="H12" s="553" t="s">
        <v>2552</v>
      </c>
      <c r="I12" s="553" t="s">
        <v>2553</v>
      </c>
      <c r="J12" s="553" t="s">
        <v>2554</v>
      </c>
      <c r="K12" s="566">
        <v>0.2611111111111111</v>
      </c>
      <c r="L12" s="553" t="s">
        <v>2555</v>
      </c>
    </row>
    <row r="13" ht="59.25" customHeight="1">
      <c r="A13" s="575" t="str">
        <f t="shared" si="7"/>
        <v/>
      </c>
      <c r="B13" s="564" t="str">
        <f>HYPERLINK("https://azurlane.koumakan.jp/Soup","Soup")</f>
        <v>Soup</v>
      </c>
      <c r="C13" s="567" t="str">
        <f t="shared" si="8"/>
        <v/>
      </c>
      <c r="D13" s="553">
        <v>128.0</v>
      </c>
      <c r="E13" s="553">
        <v>180.0</v>
      </c>
      <c r="F13" s="510">
        <v>108.0</v>
      </c>
      <c r="G13" s="553" t="s">
        <v>2556</v>
      </c>
      <c r="H13" s="553" t="s">
        <v>2557</v>
      </c>
      <c r="I13" s="553" t="s">
        <v>2558</v>
      </c>
      <c r="J13" s="553" t="s">
        <v>2559</v>
      </c>
      <c r="K13" s="566">
        <v>0.22916666666666666</v>
      </c>
      <c r="L13" s="553" t="s">
        <v>2560</v>
      </c>
    </row>
    <row r="14" ht="59.25" customHeight="1">
      <c r="A14" s="575" t="str">
        <f t="shared" si="7"/>
        <v/>
      </c>
      <c r="B14" s="564" t="str">
        <f>HYPERLINK("https://azurlane.koumakan.jp/Marble","Marble")</f>
        <v>Marble</v>
      </c>
      <c r="C14" s="567" t="str">
        <f t="shared" si="8"/>
        <v/>
      </c>
      <c r="D14" s="553">
        <v>75.0</v>
      </c>
      <c r="E14" s="553">
        <v>210.0</v>
      </c>
      <c r="F14" s="510">
        <v>144.0</v>
      </c>
      <c r="G14" s="553" t="s">
        <v>2561</v>
      </c>
      <c r="H14" s="553" t="s">
        <v>2526</v>
      </c>
      <c r="I14" s="553" t="s">
        <v>2562</v>
      </c>
      <c r="J14" s="553" t="s">
        <v>2563</v>
      </c>
      <c r="K14" s="566">
        <v>0.2798611111111111</v>
      </c>
      <c r="L14" s="553" t="s">
        <v>2564</v>
      </c>
    </row>
    <row r="15" ht="59.25" customHeight="1">
      <c r="A15" s="575" t="str">
        <f t="shared" si="7"/>
        <v/>
      </c>
      <c r="B15" s="564" t="str">
        <f>HYPERLINK("https://azurlane.koumakan.jp/Ark","Ark")</f>
        <v>Ark</v>
      </c>
      <c r="C15" s="567" t="str">
        <f t="shared" si="8"/>
        <v/>
      </c>
      <c r="D15" s="553">
        <v>128.0</v>
      </c>
      <c r="E15" s="553">
        <v>157.0</v>
      </c>
      <c r="F15" s="510">
        <v>144.0</v>
      </c>
      <c r="G15" s="553" t="s">
        <v>2565</v>
      </c>
      <c r="H15" s="553" t="s">
        <v>2566</v>
      </c>
      <c r="I15" s="553" t="s">
        <v>2567</v>
      </c>
      <c r="J15" s="553" t="s">
        <v>2549</v>
      </c>
      <c r="K15" s="566">
        <v>0.30972222222222223</v>
      </c>
      <c r="L15" s="553" t="s">
        <v>2568</v>
      </c>
    </row>
    <row r="16" ht="59.25" customHeight="1">
      <c r="A16" s="575" t="str">
        <f t="shared" ref="A16:A17" si="9">image("https://azurlane.koumakan.jp/w/images/e/e0/SakuraEmpireMeowficerIcon.png",2)</f>
        <v/>
      </c>
      <c r="B16" s="564" t="str">
        <f>HYPERLINK("https://azurlane.koumakan.jp/Jiromaru","Jiromaru")</f>
        <v>Jiromaru</v>
      </c>
      <c r="C16" s="568" t="str">
        <f t="shared" ref="C16:C17" si="10">image("https://azurlane.koumakan.jp/w/images/e/e5/Jp_1.png",2)</f>
        <v/>
      </c>
      <c r="D16" s="553">
        <v>108.0</v>
      </c>
      <c r="E16" s="553">
        <v>200.0</v>
      </c>
      <c r="F16" s="510">
        <v>134.0</v>
      </c>
      <c r="G16" s="553" t="s">
        <v>2569</v>
      </c>
      <c r="H16" s="553" t="s">
        <v>2566</v>
      </c>
      <c r="I16" s="553" t="s">
        <v>2549</v>
      </c>
      <c r="J16" s="553" t="s">
        <v>2570</v>
      </c>
      <c r="K16" s="566">
        <v>0.22013888888888888</v>
      </c>
      <c r="L16" s="553" t="s">
        <v>2550</v>
      </c>
    </row>
    <row r="17" ht="59.25" customHeight="1">
      <c r="A17" s="575" t="str">
        <f t="shared" si="9"/>
        <v/>
      </c>
      <c r="B17" s="564" t="str">
        <f>HYPERLINK("https://azurlane.koumakan.jp/Yoshimaru","Yoshimaru")</f>
        <v>Yoshimaru</v>
      </c>
      <c r="C17" s="568" t="str">
        <f t="shared" si="10"/>
        <v/>
      </c>
      <c r="D17" s="553">
        <v>118.0</v>
      </c>
      <c r="E17" s="553">
        <v>203.0</v>
      </c>
      <c r="F17" s="510">
        <v>118.0</v>
      </c>
      <c r="G17" s="553" t="s">
        <v>2571</v>
      </c>
      <c r="H17" s="553" t="s">
        <v>2572</v>
      </c>
      <c r="I17" s="553" t="s">
        <v>2573</v>
      </c>
      <c r="J17" s="553" t="s">
        <v>2574</v>
      </c>
      <c r="K17" s="566">
        <v>0.2659722222222222</v>
      </c>
      <c r="L17" s="553" t="s">
        <v>2575</v>
      </c>
    </row>
    <row r="18" ht="59.25" customHeight="1">
      <c r="A18" s="575" t="str">
        <f t="shared" ref="A18:A20" si="11">image("https://azurlane.koumakan.jp/w/images/a/ab/IronbloodMeowficerIcon.png",2)</f>
        <v/>
      </c>
      <c r="B18" s="564" t="str">
        <f>HYPERLINK("https://azurlane.koumakan.jp/Potato","Potato")</f>
        <v>Potato</v>
      </c>
      <c r="C18" s="422" t="str">
        <f t="shared" ref="C18:C20" si="12">image("https://azurlane.koumakan.jp/w/images/0/04/De_1.png",2)</f>
        <v/>
      </c>
      <c r="D18" s="553">
        <v>115.0</v>
      </c>
      <c r="E18" s="553">
        <v>184.0</v>
      </c>
      <c r="F18" s="510">
        <v>141.0</v>
      </c>
      <c r="G18" s="553" t="s">
        <v>2576</v>
      </c>
      <c r="H18" s="553" t="s">
        <v>2577</v>
      </c>
      <c r="I18" s="553" t="s">
        <v>2578</v>
      </c>
      <c r="J18" s="553" t="s">
        <v>2579</v>
      </c>
      <c r="K18" s="566">
        <v>0.28125</v>
      </c>
      <c r="L18" s="553" t="s">
        <v>2580</v>
      </c>
    </row>
    <row r="19" ht="59.25" customHeight="1">
      <c r="A19" s="575" t="str">
        <f t="shared" si="11"/>
        <v/>
      </c>
      <c r="B19" s="564" t="str">
        <f>HYPERLINK("https://azurlane.koumakan.jp/Edelweiss","Edelweiss")</f>
        <v>Edelweiss</v>
      </c>
      <c r="C19" s="422" t="str">
        <f t="shared" si="12"/>
        <v/>
      </c>
      <c r="D19" s="510">
        <v>111.0</v>
      </c>
      <c r="E19" s="510">
        <v>194.0</v>
      </c>
      <c r="F19" s="510">
        <v>134.0</v>
      </c>
      <c r="G19" s="553" t="s">
        <v>2581</v>
      </c>
      <c r="H19" s="510" t="s">
        <v>2582</v>
      </c>
      <c r="I19" s="510" t="s">
        <v>2583</v>
      </c>
      <c r="J19" s="510" t="s">
        <v>2584</v>
      </c>
      <c r="K19" s="566">
        <v>0.24791666666666667</v>
      </c>
      <c r="L19" s="510" t="s">
        <v>2585</v>
      </c>
    </row>
    <row r="20" ht="59.25" customHeight="1">
      <c r="A20" s="575" t="str">
        <f t="shared" si="11"/>
        <v/>
      </c>
      <c r="B20" s="564" t="str">
        <f>HYPERLINK("https://azurlane.koumakan.jp/Gral","Gral")</f>
        <v>Gral</v>
      </c>
      <c r="C20" s="422" t="str">
        <f t="shared" si="12"/>
        <v/>
      </c>
      <c r="D20" s="510">
        <v>105.0</v>
      </c>
      <c r="E20" s="510">
        <v>167.0</v>
      </c>
      <c r="F20" s="510">
        <v>157.0</v>
      </c>
      <c r="G20" s="553" t="s">
        <v>2586</v>
      </c>
      <c r="H20" s="510" t="s">
        <v>2582</v>
      </c>
      <c r="I20" s="510" t="s">
        <v>2587</v>
      </c>
      <c r="J20" s="510" t="s">
        <v>2588</v>
      </c>
      <c r="K20" s="566">
        <v>0.24444444444444444</v>
      </c>
      <c r="L20" s="510" t="s">
        <v>2585</v>
      </c>
    </row>
    <row r="21" ht="59.25" customHeight="1">
      <c r="A21" s="576" t="str">
        <f t="shared" ref="A21:A28" si="13">image("https://azurlane.koumakan.jp/w/images/e/ea/CommonMeowficerIcon.png",2)</f>
        <v/>
      </c>
      <c r="B21" s="564" t="str">
        <f>HYPERLINK("https://azurlane.koumakan.jp/Lady","Lady")</f>
        <v>Lady</v>
      </c>
      <c r="C21" s="565" t="str">
        <f t="shared" ref="C21:C22" si="14">image("https://azurlane.koumakan.jp/w/images/1/17/Us_1.png",2)</f>
        <v/>
      </c>
      <c r="D21" s="553">
        <v>92.0</v>
      </c>
      <c r="E21" s="553">
        <v>131.0</v>
      </c>
      <c r="F21" s="510">
        <v>171.0</v>
      </c>
      <c r="G21" s="553" t="s">
        <v>2589</v>
      </c>
      <c r="H21" s="553" t="s">
        <v>2590</v>
      </c>
      <c r="I21" s="553" t="s">
        <v>2591</v>
      </c>
      <c r="J21" s="553" t="s">
        <v>2566</v>
      </c>
      <c r="K21" s="566">
        <v>0.08541666666666667</v>
      </c>
      <c r="L21" s="553"/>
    </row>
    <row r="22" ht="59.25" customHeight="1">
      <c r="A22" s="576" t="str">
        <f t="shared" si="13"/>
        <v/>
      </c>
      <c r="B22" s="564" t="str">
        <f>HYPERLINK("https://azurlane.koumakan.jp/SG","SG")</f>
        <v>SG</v>
      </c>
      <c r="C22" s="565" t="str">
        <f t="shared" si="14"/>
        <v/>
      </c>
      <c r="D22" s="553">
        <v>134.0</v>
      </c>
      <c r="E22" s="553">
        <v>167.0</v>
      </c>
      <c r="F22" s="510">
        <v>85.0</v>
      </c>
      <c r="G22" s="553" t="s">
        <v>2592</v>
      </c>
      <c r="H22" s="553" t="s">
        <v>2526</v>
      </c>
      <c r="I22" s="553" t="s">
        <v>2593</v>
      </c>
      <c r="J22" s="553" t="s">
        <v>2594</v>
      </c>
      <c r="K22" s="566">
        <v>0.10069444444444445</v>
      </c>
      <c r="L22" s="553"/>
    </row>
    <row r="23" ht="59.25" customHeight="1">
      <c r="A23" s="576" t="str">
        <f t="shared" si="13"/>
        <v/>
      </c>
      <c r="B23" s="564" t="str">
        <f>HYPERLINK("https://azurlane.koumakan.jp/Rose","Rose")</f>
        <v>Rose</v>
      </c>
      <c r="C23" s="567" t="str">
        <f t="shared" ref="C23:C24" si="15">image("https://azurlane.koumakan.jp/w/images/9/99/En_1.png",2)</f>
        <v/>
      </c>
      <c r="D23" s="553">
        <v>210.0</v>
      </c>
      <c r="E23" s="553">
        <v>95.0</v>
      </c>
      <c r="F23" s="510">
        <v>75.0</v>
      </c>
      <c r="G23" s="553" t="s">
        <v>2595</v>
      </c>
      <c r="H23" s="553" t="s">
        <v>2596</v>
      </c>
      <c r="I23" s="553" t="s">
        <v>2597</v>
      </c>
      <c r="J23" s="553" t="s">
        <v>2598</v>
      </c>
      <c r="K23" s="566">
        <v>0.09513888888888888</v>
      </c>
      <c r="L23" s="553"/>
    </row>
    <row r="24" ht="59.25" customHeight="1">
      <c r="A24" s="576" t="str">
        <f t="shared" si="13"/>
        <v/>
      </c>
      <c r="B24" s="564" t="str">
        <f>HYPERLINK("https://azurlane.koumakan.jp/Bugles","Bugles")</f>
        <v>Bugles</v>
      </c>
      <c r="C24" s="567" t="str">
        <f t="shared" si="15"/>
        <v/>
      </c>
      <c r="D24" s="553">
        <v>95.0</v>
      </c>
      <c r="E24" s="553">
        <v>125.0</v>
      </c>
      <c r="F24" s="510">
        <v>171.0</v>
      </c>
      <c r="G24" s="553" t="s">
        <v>2599</v>
      </c>
      <c r="H24" s="553" t="s">
        <v>2600</v>
      </c>
      <c r="I24" s="553" t="s">
        <v>2593</v>
      </c>
      <c r="J24" s="553" t="s">
        <v>2601</v>
      </c>
      <c r="K24" s="566">
        <v>0.06875</v>
      </c>
      <c r="L24" s="553"/>
    </row>
    <row r="25" ht="59.25" customHeight="1">
      <c r="A25" s="577" t="str">
        <f t="shared" si="13"/>
        <v/>
      </c>
      <c r="B25" s="569" t="str">
        <f>HYPERLINK("https://azurlane.koumakan.jp/Asamaru","Asamaru")</f>
        <v>Asamaru</v>
      </c>
      <c r="C25" s="568" t="str">
        <f t="shared" ref="C25:C26" si="16">image("https://azurlane.koumakan.jp/w/images/e/e5/Jp_1.png",2)</f>
        <v/>
      </c>
      <c r="D25" s="570">
        <v>78.0</v>
      </c>
      <c r="E25" s="578">
        <v>157.0</v>
      </c>
      <c r="F25" s="520">
        <v>131.0</v>
      </c>
      <c r="G25" s="570" t="s">
        <v>2602</v>
      </c>
      <c r="H25" s="578" t="s">
        <v>2594</v>
      </c>
      <c r="I25" s="578" t="s">
        <v>2603</v>
      </c>
      <c r="J25" s="570" t="s">
        <v>2604</v>
      </c>
      <c r="K25" s="574">
        <v>0.0875</v>
      </c>
      <c r="L25" s="579"/>
    </row>
    <row r="26" ht="59.25" customHeight="1">
      <c r="A26" s="576" t="str">
        <f t="shared" si="13"/>
        <v/>
      </c>
      <c r="B26" s="564" t="str">
        <f>HYPERLINK("https://azurlane.koumakan.jp/Katsumaru","Katsumaru")</f>
        <v>Katsumaru</v>
      </c>
      <c r="C26" s="568" t="str">
        <f t="shared" si="16"/>
        <v/>
      </c>
      <c r="D26" s="553">
        <v>118.0</v>
      </c>
      <c r="E26" s="553">
        <v>154.0</v>
      </c>
      <c r="F26" s="510">
        <v>105.0</v>
      </c>
      <c r="G26" s="553" t="s">
        <v>2605</v>
      </c>
      <c r="H26" s="553" t="s">
        <v>2597</v>
      </c>
      <c r="I26" s="553" t="s">
        <v>2606</v>
      </c>
      <c r="J26" s="553" t="s">
        <v>2607</v>
      </c>
      <c r="K26" s="566">
        <v>0.0798611111111111</v>
      </c>
      <c r="L26" s="553"/>
    </row>
    <row r="27" ht="59.25" customHeight="1">
      <c r="A27" s="576" t="str">
        <f t="shared" si="13"/>
        <v/>
      </c>
      <c r="B27" s="564" t="str">
        <f>HYPERLINK("https://azurlane.koumakan.jp/Tofu","Tofu")</f>
        <v>Tofu</v>
      </c>
      <c r="C27" s="422" t="str">
        <f t="shared" ref="C27:C28" si="17">image("https://azurlane.koumakan.jp/w/images/0/04/De_1.png",2)</f>
        <v/>
      </c>
      <c r="D27" s="553">
        <v>121.0</v>
      </c>
      <c r="E27" s="553">
        <v>151.0</v>
      </c>
      <c r="F27" s="510">
        <v>118.0</v>
      </c>
      <c r="G27" s="553" t="s">
        <v>2608</v>
      </c>
      <c r="H27" s="553" t="s">
        <v>2552</v>
      </c>
      <c r="I27" s="553" t="s">
        <v>2609</v>
      </c>
      <c r="J27" s="553" t="s">
        <v>2594</v>
      </c>
      <c r="K27" s="566">
        <v>0.07916666666666666</v>
      </c>
      <c r="L27" s="553"/>
    </row>
    <row r="28" ht="59.25" customHeight="1">
      <c r="A28" s="576" t="str">
        <f t="shared" si="13"/>
        <v/>
      </c>
      <c r="B28" s="564" t="str">
        <f>HYPERLINK("https://azurlane.koumakan.jp/Beer","Beer")</f>
        <v>Beer</v>
      </c>
      <c r="C28" s="422" t="str">
        <f t="shared" si="17"/>
        <v/>
      </c>
      <c r="D28" s="553">
        <v>92.0</v>
      </c>
      <c r="E28" s="553">
        <v>134.0</v>
      </c>
      <c r="F28" s="510">
        <v>161.0</v>
      </c>
      <c r="G28" s="553" t="s">
        <v>2610</v>
      </c>
      <c r="H28" s="553" t="s">
        <v>2572</v>
      </c>
      <c r="I28" s="553" t="s">
        <v>2611</v>
      </c>
      <c r="J28" s="553" t="s">
        <v>2612</v>
      </c>
      <c r="K28" s="566">
        <v>0.10555555555555556</v>
      </c>
      <c r="L28" s="553"/>
    </row>
    <row r="29" ht="59.25" customHeight="1">
      <c r="A29" s="505"/>
      <c r="B29" s="550"/>
      <c r="C29" s="543"/>
      <c r="D29" s="544"/>
      <c r="E29" s="544"/>
      <c r="F29" s="544"/>
      <c r="G29" s="544"/>
      <c r="H29" s="544"/>
      <c r="I29" s="544"/>
      <c r="J29" s="544"/>
      <c r="K29" s="580"/>
      <c r="L29" s="544"/>
    </row>
    <row r="30" ht="59.25" customHeight="1">
      <c r="A30" s="505"/>
      <c r="B30" s="550"/>
      <c r="C30" s="543"/>
      <c r="D30" s="544"/>
      <c r="E30" s="544"/>
      <c r="F30" s="544"/>
      <c r="G30" s="544"/>
      <c r="H30" s="544"/>
      <c r="I30" s="544"/>
      <c r="J30" s="544"/>
      <c r="K30" s="580"/>
      <c r="L30" s="544"/>
    </row>
  </sheetData>
  <drawing r:id="rId2"/>
  <legacyDrawing r:id="rId3"/>
  <tableParts count="1">
    <tablePart r:id="rId5"/>
  </tablePar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29"/>
    <col customWidth="1" min="2" max="2" width="5.14"/>
    <col customWidth="1" min="3" max="3" width="20.86"/>
    <col customWidth="1" min="4" max="4" width="10.57"/>
    <col customWidth="1" min="5" max="11" width="5.86"/>
    <col customWidth="1" min="12" max="12" width="7.29"/>
    <col customWidth="1" min="13" max="19" width="5.86"/>
    <col customWidth="1" min="20" max="20" width="17.71"/>
    <col customWidth="1" min="21" max="21" width="9.14"/>
    <col customWidth="1" min="22" max="22" width="16.57"/>
    <col customWidth="1" min="23" max="23" width="9.14"/>
    <col customWidth="1" min="24" max="24" width="60.14"/>
  </cols>
  <sheetData>
    <row r="1">
      <c r="A1" s="10" t="s">
        <v>3</v>
      </c>
      <c r="B1" s="11" t="s">
        <v>4</v>
      </c>
      <c r="C1" s="11" t="s">
        <v>5</v>
      </c>
      <c r="D1" s="12" t="s">
        <v>6</v>
      </c>
      <c r="E1" s="12" t="s">
        <v>7</v>
      </c>
      <c r="F1" s="12" t="s">
        <v>8</v>
      </c>
      <c r="G1" s="12" t="s">
        <v>9</v>
      </c>
      <c r="H1" s="12" t="s">
        <v>10</v>
      </c>
      <c r="I1" s="12" t="s">
        <v>11</v>
      </c>
      <c r="J1" s="12" t="s">
        <v>12</v>
      </c>
      <c r="K1" s="12" t="s">
        <v>13</v>
      </c>
      <c r="L1" s="12" t="s">
        <v>14</v>
      </c>
      <c r="M1" s="12" t="s">
        <v>15</v>
      </c>
      <c r="N1" s="12" t="s">
        <v>16</v>
      </c>
      <c r="O1" s="12" t="s">
        <v>17</v>
      </c>
      <c r="P1" s="12" t="s">
        <v>18</v>
      </c>
      <c r="Q1" s="12" t="s">
        <v>19</v>
      </c>
      <c r="R1" s="12" t="s">
        <v>20</v>
      </c>
      <c r="S1" s="12" t="s">
        <v>21</v>
      </c>
      <c r="T1" s="13" t="s">
        <v>22</v>
      </c>
      <c r="U1" s="14" t="s">
        <v>23</v>
      </c>
      <c r="V1" s="15" t="s">
        <v>24</v>
      </c>
      <c r="W1" s="16" t="s">
        <v>25</v>
      </c>
      <c r="X1" s="17" t="s">
        <v>26</v>
      </c>
      <c r="Y1" s="18"/>
    </row>
    <row r="2" ht="15.75" customHeight="1">
      <c r="A2" s="19">
        <v>1.0</v>
      </c>
      <c r="B2" s="20" t="s">
        <v>27</v>
      </c>
      <c r="C2" s="21" t="str">
        <f>HYPERLINK("https://azurlane.koumakan.jp/Universal_Bullin","Universal Bullin")</f>
        <v>Universal Bullin</v>
      </c>
      <c r="D2" s="22" t="s">
        <v>28</v>
      </c>
      <c r="E2" s="22">
        <v>237.0</v>
      </c>
      <c r="F2" s="22">
        <v>23.0</v>
      </c>
      <c r="G2" s="22">
        <v>23.0</v>
      </c>
      <c r="H2" s="22">
        <v>23.0</v>
      </c>
      <c r="I2" s="22">
        <v>23.0</v>
      </c>
      <c r="J2" s="22">
        <v>118.0</v>
      </c>
      <c r="K2" s="22">
        <v>118.0</v>
      </c>
      <c r="L2" s="22" t="s">
        <v>29</v>
      </c>
      <c r="M2" s="22">
        <v>35.0</v>
      </c>
      <c r="N2" s="22">
        <v>118.0</v>
      </c>
      <c r="O2" s="23">
        <v>100.0</v>
      </c>
      <c r="P2" s="22">
        <v>34.0</v>
      </c>
      <c r="Q2" s="22">
        <v>3.0</v>
      </c>
      <c r="R2" s="22">
        <v>0.0</v>
      </c>
      <c r="S2" s="22">
        <v>0.0</v>
      </c>
      <c r="T2" s="24" t="s">
        <v>30</v>
      </c>
      <c r="U2" s="25"/>
      <c r="V2" s="26" t="s">
        <v>31</v>
      </c>
      <c r="W2" s="27"/>
      <c r="X2" s="28"/>
      <c r="Y2" s="29"/>
    </row>
    <row r="3" ht="15.75" customHeight="1">
      <c r="A3" s="30">
        <v>2.0</v>
      </c>
      <c r="B3" s="31" t="s">
        <v>27</v>
      </c>
      <c r="C3" s="32" t="str">
        <f>HYPERLINK("https://azurlane.koumakan.jp/Trial_Bullin_MKII","Prototype Bullin Mk2")</f>
        <v>Prototype Bullin Mk2</v>
      </c>
      <c r="D3" s="33" t="s">
        <v>32</v>
      </c>
      <c r="E3" s="33">
        <v>237.0</v>
      </c>
      <c r="F3" s="33">
        <v>23.0</v>
      </c>
      <c r="G3" s="33">
        <v>23.0</v>
      </c>
      <c r="H3" s="33">
        <v>23.0</v>
      </c>
      <c r="I3" s="33">
        <v>23.0</v>
      </c>
      <c r="J3" s="33">
        <v>118.0</v>
      </c>
      <c r="K3" s="33">
        <v>118.0</v>
      </c>
      <c r="L3" s="33" t="s">
        <v>29</v>
      </c>
      <c r="M3" s="33">
        <v>35.0</v>
      </c>
      <c r="N3" s="33">
        <v>118.0</v>
      </c>
      <c r="O3" s="34">
        <v>100.0</v>
      </c>
      <c r="P3" s="33">
        <v>34.0</v>
      </c>
      <c r="Q3" s="33">
        <v>3.0</v>
      </c>
      <c r="R3" s="33">
        <v>0.0</v>
      </c>
      <c r="S3" s="33">
        <v>0.0</v>
      </c>
      <c r="T3" s="35" t="s">
        <v>30</v>
      </c>
      <c r="U3" s="36"/>
      <c r="V3" s="37" t="s">
        <v>31</v>
      </c>
      <c r="W3" s="38"/>
      <c r="X3" s="39"/>
      <c r="Y3" s="40"/>
    </row>
    <row r="4" ht="15.75" customHeight="1">
      <c r="A4" s="41">
        <v>3.0</v>
      </c>
      <c r="B4" s="42" t="s">
        <v>27</v>
      </c>
      <c r="C4" s="43" t="s">
        <v>33</v>
      </c>
      <c r="D4" s="24" t="s">
        <v>34</v>
      </c>
      <c r="E4" s="24">
        <v>237.0</v>
      </c>
      <c r="F4" s="24">
        <v>23.0</v>
      </c>
      <c r="G4" s="24">
        <v>23.0</v>
      </c>
      <c r="H4" s="24">
        <v>23.0</v>
      </c>
      <c r="I4" s="24">
        <v>23.0</v>
      </c>
      <c r="J4" s="24">
        <v>118.0</v>
      </c>
      <c r="K4" s="24">
        <v>118.0</v>
      </c>
      <c r="L4" s="24" t="s">
        <v>29</v>
      </c>
      <c r="M4" s="24">
        <v>35.0</v>
      </c>
      <c r="N4" s="24">
        <v>118.0</v>
      </c>
      <c r="O4" s="44">
        <v>100.0</v>
      </c>
      <c r="P4" s="24">
        <v>34.0</v>
      </c>
      <c r="Q4" s="24">
        <v>3.0</v>
      </c>
      <c r="R4" s="24">
        <v>0.0</v>
      </c>
      <c r="S4" s="24">
        <v>0.0</v>
      </c>
      <c r="T4" s="24" t="s">
        <v>30</v>
      </c>
      <c r="U4" s="45"/>
      <c r="V4" s="24" t="s">
        <v>35</v>
      </c>
      <c r="W4" s="46"/>
      <c r="X4" s="47"/>
      <c r="Y4" s="48"/>
    </row>
    <row r="5" ht="15.75" customHeight="1">
      <c r="A5" s="49">
        <v>4.0</v>
      </c>
      <c r="B5" s="50" t="s">
        <v>27</v>
      </c>
      <c r="C5" s="51" t="str">
        <f>HYPERLINK("https://azurlane.koumakan.jp/Dewey","Dewey")</f>
        <v>Dewey</v>
      </c>
      <c r="D5" s="37" t="s">
        <v>36</v>
      </c>
      <c r="E5" s="33">
        <v>1687.0</v>
      </c>
      <c r="F5" s="33">
        <v>75.0</v>
      </c>
      <c r="G5" s="33">
        <v>283.0</v>
      </c>
      <c r="H5" s="33">
        <v>0.0</v>
      </c>
      <c r="I5" s="33">
        <v>189.0</v>
      </c>
      <c r="J5" s="33">
        <v>191.0</v>
      </c>
      <c r="K5" s="33">
        <v>210.0</v>
      </c>
      <c r="L5" s="33" t="s">
        <v>29</v>
      </c>
      <c r="M5" s="33">
        <v>44.0</v>
      </c>
      <c r="N5" s="33">
        <v>194.0</v>
      </c>
      <c r="O5" s="33">
        <v>72.0</v>
      </c>
      <c r="P5" s="33">
        <v>187.0</v>
      </c>
      <c r="Q5" s="33">
        <v>8.0</v>
      </c>
      <c r="R5" s="33">
        <v>0.0</v>
      </c>
      <c r="S5" s="33">
        <v>0.0</v>
      </c>
      <c r="T5" s="35" t="s">
        <v>37</v>
      </c>
      <c r="U5" s="36" t="s">
        <v>38</v>
      </c>
      <c r="V5" s="37" t="s">
        <v>39</v>
      </c>
      <c r="W5" s="52"/>
      <c r="X5" s="53"/>
      <c r="Y5" s="40"/>
    </row>
    <row r="6" ht="15.75" customHeight="1">
      <c r="A6" s="19">
        <v>5.0</v>
      </c>
      <c r="B6" s="20" t="s">
        <v>27</v>
      </c>
      <c r="C6" s="21" t="str">
        <f>HYPERLINK("https://azurlane.koumakan.jp/Cassin","Cassin")</f>
        <v>Cassin</v>
      </c>
      <c r="D6" s="22" t="s">
        <v>40</v>
      </c>
      <c r="E6" s="22">
        <v>1777.0</v>
      </c>
      <c r="F6" s="22">
        <v>77.0</v>
      </c>
      <c r="G6" s="22">
        <v>287.0</v>
      </c>
      <c r="H6" s="22">
        <v>0.0</v>
      </c>
      <c r="I6" s="22">
        <v>171.0</v>
      </c>
      <c r="J6" s="22">
        <v>193.0</v>
      </c>
      <c r="K6" s="22">
        <v>210.0</v>
      </c>
      <c r="L6" s="22" t="s">
        <v>29</v>
      </c>
      <c r="M6" s="22">
        <v>44.0</v>
      </c>
      <c r="N6" s="22">
        <v>205.0</v>
      </c>
      <c r="O6" s="22">
        <v>66.0</v>
      </c>
      <c r="P6" s="22">
        <v>184.0</v>
      </c>
      <c r="Q6" s="22">
        <v>7.0</v>
      </c>
      <c r="R6" s="22">
        <v>0.0</v>
      </c>
      <c r="S6" s="22">
        <v>0.0</v>
      </c>
      <c r="T6" s="24" t="s">
        <v>37</v>
      </c>
      <c r="U6" s="25" t="s">
        <v>41</v>
      </c>
      <c r="V6" s="26" t="s">
        <v>29</v>
      </c>
      <c r="W6" s="27">
        <v>0.01597222222222222</v>
      </c>
      <c r="X6" s="54"/>
      <c r="Y6" s="29"/>
    </row>
    <row r="7" ht="15.75" customHeight="1">
      <c r="A7" s="30">
        <v>5.1</v>
      </c>
      <c r="B7" s="31" t="s">
        <v>27</v>
      </c>
      <c r="C7" s="32" t="str">
        <f>HYPERLINK("https://azurlane.koumakan.jp/Cassin#Retrofit","Cassin (R)")</f>
        <v>Cassin (R)</v>
      </c>
      <c r="D7" s="33" t="s">
        <v>36</v>
      </c>
      <c r="E7" s="33">
        <v>1942.0</v>
      </c>
      <c r="F7" s="33">
        <v>102.0</v>
      </c>
      <c r="G7" s="33">
        <v>297.0</v>
      </c>
      <c r="H7" s="33">
        <v>0.0</v>
      </c>
      <c r="I7" s="33">
        <v>171.0</v>
      </c>
      <c r="J7" s="33">
        <v>213.0</v>
      </c>
      <c r="K7" s="33">
        <v>235.0</v>
      </c>
      <c r="L7" s="33" t="s">
        <v>29</v>
      </c>
      <c r="M7" s="33">
        <v>47.0</v>
      </c>
      <c r="N7" s="33">
        <v>205.0</v>
      </c>
      <c r="O7" s="34">
        <v>66.0</v>
      </c>
      <c r="P7" s="33">
        <v>184.0</v>
      </c>
      <c r="Q7" s="33">
        <v>7.0</v>
      </c>
      <c r="R7" s="33">
        <v>0.0</v>
      </c>
      <c r="S7" s="33">
        <v>0.0</v>
      </c>
      <c r="T7" s="35" t="s">
        <v>37</v>
      </c>
      <c r="U7" s="55" t="s">
        <v>42</v>
      </c>
      <c r="W7" s="56"/>
      <c r="X7" s="39"/>
      <c r="Y7" s="40"/>
    </row>
    <row r="8" ht="15.75" customHeight="1">
      <c r="A8" s="19">
        <v>6.0</v>
      </c>
      <c r="B8" s="20" t="s">
        <v>27</v>
      </c>
      <c r="C8" s="21" t="str">
        <f>HYPERLINK("https://azurlane.koumakan.jp/Downes","Downes")</f>
        <v>Downes</v>
      </c>
      <c r="D8" s="22" t="s">
        <v>40</v>
      </c>
      <c r="E8" s="22">
        <v>1777.0</v>
      </c>
      <c r="F8" s="22">
        <v>77.0</v>
      </c>
      <c r="G8" s="22">
        <v>287.0</v>
      </c>
      <c r="H8" s="22">
        <v>0.0</v>
      </c>
      <c r="I8" s="22">
        <v>171.0</v>
      </c>
      <c r="J8" s="22">
        <v>193.0</v>
      </c>
      <c r="K8" s="22">
        <v>210.0</v>
      </c>
      <c r="L8" s="22" t="s">
        <v>29</v>
      </c>
      <c r="M8" s="22">
        <v>44.0</v>
      </c>
      <c r="N8" s="22">
        <v>205.0</v>
      </c>
      <c r="O8" s="22">
        <v>63.0</v>
      </c>
      <c r="P8" s="22">
        <v>184.0</v>
      </c>
      <c r="Q8" s="22">
        <v>7.0</v>
      </c>
      <c r="R8" s="22">
        <v>0.0</v>
      </c>
      <c r="S8" s="22">
        <v>0.0</v>
      </c>
      <c r="T8" s="24" t="s">
        <v>37</v>
      </c>
      <c r="U8" s="25" t="s">
        <v>41</v>
      </c>
      <c r="V8" s="26" t="s">
        <v>29</v>
      </c>
      <c r="W8" s="27">
        <v>0.01597222222222222</v>
      </c>
      <c r="X8" s="54"/>
      <c r="Y8" s="29"/>
    </row>
    <row r="9" ht="15.75" customHeight="1">
      <c r="A9" s="30">
        <v>6.1</v>
      </c>
      <c r="B9" s="31" t="s">
        <v>27</v>
      </c>
      <c r="C9" s="32" t="str">
        <f>HYPERLINK("https://azurlane.koumakan.jp/Downes#Retrofit","Downes (R)")</f>
        <v>Downes (R)</v>
      </c>
      <c r="D9" s="33" t="s">
        <v>36</v>
      </c>
      <c r="E9" s="33">
        <v>1942.0</v>
      </c>
      <c r="F9" s="33">
        <v>102.0</v>
      </c>
      <c r="G9" s="33">
        <v>297.0</v>
      </c>
      <c r="H9" s="34">
        <v>0.0</v>
      </c>
      <c r="I9" s="33">
        <v>171.0</v>
      </c>
      <c r="J9" s="33">
        <v>213.0</v>
      </c>
      <c r="K9" s="33">
        <v>235.0</v>
      </c>
      <c r="L9" s="34" t="s">
        <v>29</v>
      </c>
      <c r="M9" s="34">
        <v>47.0</v>
      </c>
      <c r="N9" s="33">
        <v>205.0</v>
      </c>
      <c r="O9" s="34">
        <v>63.0</v>
      </c>
      <c r="P9" s="33">
        <v>184.0</v>
      </c>
      <c r="Q9" s="34">
        <v>7.0</v>
      </c>
      <c r="R9" s="34">
        <v>0.0</v>
      </c>
      <c r="S9" s="34">
        <v>0.0</v>
      </c>
      <c r="T9" s="35" t="s">
        <v>37</v>
      </c>
      <c r="U9" s="55" t="s">
        <v>42</v>
      </c>
      <c r="W9" s="56"/>
      <c r="X9" s="39"/>
      <c r="Y9" s="40"/>
    </row>
    <row r="10" ht="15.75" customHeight="1">
      <c r="A10" s="19">
        <v>7.0</v>
      </c>
      <c r="B10" s="20" t="s">
        <v>27</v>
      </c>
      <c r="C10" s="21" t="str">
        <f>HYPERLINK("https://azurlane.koumakan.jp/Gridley","Gridley")</f>
        <v>Gridley</v>
      </c>
      <c r="D10" s="22" t="s">
        <v>36</v>
      </c>
      <c r="E10" s="22">
        <v>1854.0</v>
      </c>
      <c r="F10" s="22">
        <v>74.0</v>
      </c>
      <c r="G10" s="22">
        <v>444.0</v>
      </c>
      <c r="H10" s="22">
        <v>0.0</v>
      </c>
      <c r="I10" s="22">
        <v>177.0</v>
      </c>
      <c r="J10" s="22">
        <v>204.0</v>
      </c>
      <c r="K10" s="22">
        <v>210.0</v>
      </c>
      <c r="L10" s="22" t="s">
        <v>29</v>
      </c>
      <c r="M10" s="22">
        <v>46.0</v>
      </c>
      <c r="N10" s="22">
        <v>218.0</v>
      </c>
      <c r="O10" s="22">
        <v>72.0</v>
      </c>
      <c r="P10" s="22">
        <v>204.0</v>
      </c>
      <c r="Q10" s="22">
        <v>8.0</v>
      </c>
      <c r="R10" s="22">
        <v>0.0</v>
      </c>
      <c r="S10" s="22">
        <v>0.0</v>
      </c>
      <c r="T10" s="24" t="s">
        <v>37</v>
      </c>
      <c r="U10" s="25" t="s">
        <v>43</v>
      </c>
      <c r="V10" s="26" t="s">
        <v>29</v>
      </c>
      <c r="W10" s="27">
        <v>0.017361111111111112</v>
      </c>
      <c r="X10" s="54"/>
      <c r="Y10" s="29"/>
    </row>
    <row r="11" ht="15.75" customHeight="1">
      <c r="A11" s="30">
        <v>8.0</v>
      </c>
      <c r="B11" s="31" t="s">
        <v>27</v>
      </c>
      <c r="C11" s="32" t="str">
        <f>HYPERLINK("https://azurlane.koumakan.jp/Craven","Craven")</f>
        <v>Craven</v>
      </c>
      <c r="D11" s="33" t="s">
        <v>40</v>
      </c>
      <c r="E11" s="33">
        <v>1818.0</v>
      </c>
      <c r="F11" s="33">
        <v>73.0</v>
      </c>
      <c r="G11" s="33">
        <v>434.0</v>
      </c>
      <c r="H11" s="33">
        <v>0.0</v>
      </c>
      <c r="I11" s="33">
        <v>175.0</v>
      </c>
      <c r="J11" s="33">
        <v>199.0</v>
      </c>
      <c r="K11" s="33">
        <v>210.0</v>
      </c>
      <c r="L11" s="33" t="s">
        <v>29</v>
      </c>
      <c r="M11" s="33">
        <v>46.0</v>
      </c>
      <c r="N11" s="33">
        <v>218.0</v>
      </c>
      <c r="O11" s="33">
        <v>72.0</v>
      </c>
      <c r="P11" s="33">
        <v>195.0</v>
      </c>
      <c r="Q11" s="33">
        <v>8.0</v>
      </c>
      <c r="R11" s="33">
        <v>0.0</v>
      </c>
      <c r="S11" s="33">
        <v>0.0</v>
      </c>
      <c r="T11" s="35" t="s">
        <v>37</v>
      </c>
      <c r="U11" s="36" t="s">
        <v>44</v>
      </c>
      <c r="V11" s="37" t="s">
        <v>29</v>
      </c>
      <c r="W11" s="38">
        <v>0.017361111111111112</v>
      </c>
      <c r="X11" s="53"/>
      <c r="Y11" s="40"/>
    </row>
    <row r="12" ht="15.75" customHeight="1">
      <c r="A12" s="19">
        <v>9.0</v>
      </c>
      <c r="B12" s="20" t="s">
        <v>27</v>
      </c>
      <c r="C12" s="21" t="str">
        <f>HYPERLINK("https://azurlane.koumakan.jp/McCall","McCall")</f>
        <v>McCall</v>
      </c>
      <c r="D12" s="22" t="s">
        <v>40</v>
      </c>
      <c r="E12" s="22">
        <v>1766.0</v>
      </c>
      <c r="F12" s="22">
        <v>73.0</v>
      </c>
      <c r="G12" s="22">
        <v>434.0</v>
      </c>
      <c r="H12" s="22">
        <v>0.0</v>
      </c>
      <c r="I12" s="22">
        <v>175.0</v>
      </c>
      <c r="J12" s="22">
        <v>199.0</v>
      </c>
      <c r="K12" s="22">
        <v>210.0</v>
      </c>
      <c r="L12" s="22" t="s">
        <v>29</v>
      </c>
      <c r="M12" s="22">
        <v>43.0</v>
      </c>
      <c r="N12" s="22">
        <v>218.0</v>
      </c>
      <c r="O12" s="22">
        <v>69.0</v>
      </c>
      <c r="P12" s="22">
        <v>195.0</v>
      </c>
      <c r="Q12" s="22">
        <v>8.0</v>
      </c>
      <c r="R12" s="22">
        <v>0.0</v>
      </c>
      <c r="S12" s="22">
        <v>0.0</v>
      </c>
      <c r="T12" s="24" t="s">
        <v>37</v>
      </c>
      <c r="U12" s="25" t="s">
        <v>44</v>
      </c>
      <c r="V12" s="26" t="s">
        <v>29</v>
      </c>
      <c r="W12" s="27">
        <v>0.017361111111111112</v>
      </c>
      <c r="X12" s="54"/>
      <c r="Y12" s="29"/>
    </row>
    <row r="13" ht="15.75" customHeight="1">
      <c r="A13" s="30">
        <v>10.0</v>
      </c>
      <c r="B13" s="31" t="s">
        <v>27</v>
      </c>
      <c r="C13" s="32" t="str">
        <f>HYPERLINK("https://azurlane.koumakan.jp/Maury","Maury")</f>
        <v>Maury</v>
      </c>
      <c r="D13" s="33" t="s">
        <v>28</v>
      </c>
      <c r="E13" s="33">
        <v>1853.0</v>
      </c>
      <c r="F13" s="33">
        <v>77.0</v>
      </c>
      <c r="G13" s="33">
        <v>454.0</v>
      </c>
      <c r="H13" s="33">
        <v>0.0</v>
      </c>
      <c r="I13" s="33">
        <v>182.0</v>
      </c>
      <c r="J13" s="33">
        <v>210.0</v>
      </c>
      <c r="K13" s="33">
        <v>256.0</v>
      </c>
      <c r="L13" s="33" t="s">
        <v>29</v>
      </c>
      <c r="M13" s="33">
        <v>43.0</v>
      </c>
      <c r="N13" s="33">
        <v>218.0</v>
      </c>
      <c r="O13" s="33">
        <v>69.0</v>
      </c>
      <c r="P13" s="33">
        <v>206.0</v>
      </c>
      <c r="Q13" s="33">
        <v>9.0</v>
      </c>
      <c r="R13" s="33">
        <v>0.0</v>
      </c>
      <c r="S13" s="33">
        <v>0.0</v>
      </c>
      <c r="T13" s="35" t="s">
        <v>37</v>
      </c>
      <c r="U13" s="57"/>
      <c r="V13" s="37" t="s">
        <v>29</v>
      </c>
      <c r="W13" s="38">
        <v>0.017361111111111112</v>
      </c>
      <c r="X13" s="39" t="s">
        <v>45</v>
      </c>
      <c r="Y13" s="40"/>
    </row>
    <row r="14" ht="15.75" customHeight="1">
      <c r="A14" s="19">
        <v>11.0</v>
      </c>
      <c r="B14" s="20" t="s">
        <v>27</v>
      </c>
      <c r="C14" s="21" t="str">
        <f>HYPERLINK("https://azurlane.koumakan.jp/Fletcher","Fletcher")</f>
        <v>Fletcher</v>
      </c>
      <c r="D14" s="22" t="s">
        <v>36</v>
      </c>
      <c r="E14" s="22">
        <v>2128.0</v>
      </c>
      <c r="F14" s="22">
        <v>87.0</v>
      </c>
      <c r="G14" s="22">
        <v>287.0</v>
      </c>
      <c r="H14" s="22">
        <v>0.0</v>
      </c>
      <c r="I14" s="22">
        <v>176.0</v>
      </c>
      <c r="J14" s="22">
        <v>199.0</v>
      </c>
      <c r="K14" s="22">
        <v>207.0</v>
      </c>
      <c r="L14" s="22" t="s">
        <v>29</v>
      </c>
      <c r="M14" s="22">
        <v>43.0</v>
      </c>
      <c r="N14" s="22">
        <v>212.0</v>
      </c>
      <c r="O14" s="22">
        <v>73.0</v>
      </c>
      <c r="P14" s="22">
        <v>209.0</v>
      </c>
      <c r="Q14" s="22">
        <v>8.0</v>
      </c>
      <c r="R14" s="22">
        <v>0.0</v>
      </c>
      <c r="S14" s="22">
        <v>0.0</v>
      </c>
      <c r="T14" s="24" t="s">
        <v>37</v>
      </c>
      <c r="U14" s="25" t="s">
        <v>46</v>
      </c>
      <c r="V14" s="26" t="s">
        <v>29</v>
      </c>
      <c r="W14" s="27">
        <v>0.019444444444444445</v>
      </c>
      <c r="X14" s="28" t="s">
        <v>47</v>
      </c>
      <c r="Y14" s="29"/>
    </row>
    <row r="15" ht="15.75" customHeight="1">
      <c r="A15" s="30">
        <v>13.0</v>
      </c>
      <c r="B15" s="31" t="s">
        <v>27</v>
      </c>
      <c r="C15" s="32" t="str">
        <f>HYPERLINK("https://azurlane.koumakan.jp/Charles_Ausburne","Charles Ausburne")</f>
        <v>Charles Ausburne</v>
      </c>
      <c r="D15" s="33" t="s">
        <v>28</v>
      </c>
      <c r="E15" s="33">
        <v>2164.0</v>
      </c>
      <c r="F15" s="33">
        <v>88.0</v>
      </c>
      <c r="G15" s="33">
        <v>295.0</v>
      </c>
      <c r="H15" s="33">
        <v>0.0</v>
      </c>
      <c r="I15" s="33">
        <v>182.0</v>
      </c>
      <c r="J15" s="33">
        <v>218.0</v>
      </c>
      <c r="K15" s="33">
        <v>205.0</v>
      </c>
      <c r="L15" s="33" t="s">
        <v>29</v>
      </c>
      <c r="M15" s="33">
        <v>42.0</v>
      </c>
      <c r="N15" s="33">
        <v>233.0</v>
      </c>
      <c r="O15" s="33">
        <v>82.0</v>
      </c>
      <c r="P15" s="33">
        <v>215.0</v>
      </c>
      <c r="Q15" s="33">
        <v>9.0</v>
      </c>
      <c r="R15" s="33">
        <v>0.0</v>
      </c>
      <c r="S15" s="33">
        <v>0.0</v>
      </c>
      <c r="T15" s="35" t="s">
        <v>37</v>
      </c>
      <c r="U15" s="36" t="s">
        <v>48</v>
      </c>
      <c r="V15" s="37" t="s">
        <v>29</v>
      </c>
      <c r="W15" s="38">
        <v>0.019444444444444445</v>
      </c>
      <c r="X15" s="53"/>
      <c r="Y15" s="40"/>
    </row>
    <row r="16" ht="15.75" customHeight="1">
      <c r="A16" s="19">
        <v>14.0</v>
      </c>
      <c r="B16" s="20" t="s">
        <v>27</v>
      </c>
      <c r="C16" s="21" t="str">
        <f>HYPERLINK("https://azurlane.koumakan.jp/Thatcher","Thatcher")</f>
        <v>Thatcher</v>
      </c>
      <c r="D16" s="22" t="s">
        <v>36</v>
      </c>
      <c r="E16" s="22">
        <v>2086.0</v>
      </c>
      <c r="F16" s="22">
        <v>87.0</v>
      </c>
      <c r="G16" s="22">
        <v>287.0</v>
      </c>
      <c r="H16" s="22">
        <v>0.0</v>
      </c>
      <c r="I16" s="22">
        <v>176.0</v>
      </c>
      <c r="J16" s="22">
        <v>212.0</v>
      </c>
      <c r="K16" s="22">
        <v>205.0</v>
      </c>
      <c r="L16" s="22" t="s">
        <v>29</v>
      </c>
      <c r="M16" s="22">
        <v>42.0</v>
      </c>
      <c r="N16" s="22">
        <v>222.0</v>
      </c>
      <c r="O16" s="22">
        <v>65.0</v>
      </c>
      <c r="P16" s="22">
        <v>209.0</v>
      </c>
      <c r="Q16" s="22">
        <v>8.0</v>
      </c>
      <c r="R16" s="22">
        <v>0.0</v>
      </c>
      <c r="S16" s="22">
        <v>0.0</v>
      </c>
      <c r="T16" s="24" t="s">
        <v>37</v>
      </c>
      <c r="U16" s="25" t="s">
        <v>46</v>
      </c>
      <c r="V16" s="26" t="s">
        <v>49</v>
      </c>
      <c r="W16" s="27">
        <v>0.019444444444444445</v>
      </c>
      <c r="X16" s="54"/>
      <c r="Y16" s="29"/>
    </row>
    <row r="17" ht="15.75" customHeight="1">
      <c r="A17" s="30">
        <v>15.0</v>
      </c>
      <c r="B17" s="31" t="s">
        <v>27</v>
      </c>
      <c r="C17" s="32" t="str">
        <f>HYPERLINK("https://azurlane.koumakan.jp/Aulick","Aulick")</f>
        <v>Aulick</v>
      </c>
      <c r="D17" s="33" t="s">
        <v>40</v>
      </c>
      <c r="E17" s="33">
        <v>2046.0</v>
      </c>
      <c r="F17" s="33">
        <v>84.0</v>
      </c>
      <c r="G17" s="33">
        <v>282.0</v>
      </c>
      <c r="H17" s="33">
        <v>0.0</v>
      </c>
      <c r="I17" s="33">
        <v>174.0</v>
      </c>
      <c r="J17" s="33">
        <v>207.0</v>
      </c>
      <c r="K17" s="33">
        <v>205.0</v>
      </c>
      <c r="L17" s="33" t="s">
        <v>29</v>
      </c>
      <c r="M17" s="33">
        <v>42.0</v>
      </c>
      <c r="N17" s="33">
        <v>222.0</v>
      </c>
      <c r="O17" s="33">
        <v>62.0</v>
      </c>
      <c r="P17" s="33">
        <v>206.0</v>
      </c>
      <c r="Q17" s="33">
        <v>7.0</v>
      </c>
      <c r="R17" s="33">
        <v>0.0</v>
      </c>
      <c r="S17" s="33">
        <v>0.0</v>
      </c>
      <c r="T17" s="35" t="s">
        <v>37</v>
      </c>
      <c r="U17" s="36" t="s">
        <v>50</v>
      </c>
      <c r="V17" s="37" t="s">
        <v>29</v>
      </c>
      <c r="W17" s="38">
        <v>0.019444444444444445</v>
      </c>
      <c r="X17" s="53"/>
      <c r="Y17" s="40"/>
    </row>
    <row r="18" ht="15.75" customHeight="1">
      <c r="A18" s="19">
        <v>16.0</v>
      </c>
      <c r="B18" s="20" t="s">
        <v>27</v>
      </c>
      <c r="C18" s="21" t="str">
        <f>HYPERLINK("https://azurlane.koumakan.jp/Foote","Foote")</f>
        <v>Foote</v>
      </c>
      <c r="D18" s="22" t="s">
        <v>40</v>
      </c>
      <c r="E18" s="22">
        <v>2046.0</v>
      </c>
      <c r="F18" s="22">
        <v>84.0</v>
      </c>
      <c r="G18" s="22">
        <v>282.0</v>
      </c>
      <c r="H18" s="22">
        <v>0.0</v>
      </c>
      <c r="I18" s="22">
        <v>174.0</v>
      </c>
      <c r="J18" s="22">
        <v>199.0</v>
      </c>
      <c r="K18" s="22">
        <v>205.0</v>
      </c>
      <c r="L18" s="22" t="s">
        <v>29</v>
      </c>
      <c r="M18" s="22">
        <v>42.0</v>
      </c>
      <c r="N18" s="22">
        <v>222.0</v>
      </c>
      <c r="O18" s="22">
        <v>67.0</v>
      </c>
      <c r="P18" s="22">
        <v>206.0</v>
      </c>
      <c r="Q18" s="22">
        <v>7.0</v>
      </c>
      <c r="R18" s="22">
        <v>0.0</v>
      </c>
      <c r="S18" s="22">
        <v>0.0</v>
      </c>
      <c r="T18" s="24" t="s">
        <v>37</v>
      </c>
      <c r="U18" s="25" t="s">
        <v>50</v>
      </c>
      <c r="V18" s="26" t="s">
        <v>29</v>
      </c>
      <c r="W18" s="27">
        <v>0.019444444444444445</v>
      </c>
      <c r="X18" s="54"/>
      <c r="Y18" s="29"/>
    </row>
    <row r="19" ht="15.75" customHeight="1">
      <c r="A19" s="30">
        <v>17.0</v>
      </c>
      <c r="B19" s="31" t="s">
        <v>27</v>
      </c>
      <c r="C19" s="32" t="str">
        <f>HYPERLINK("https://azurlane.koumakan.jp/Spence","Spence")</f>
        <v>Spence</v>
      </c>
      <c r="D19" s="33" t="s">
        <v>40</v>
      </c>
      <c r="E19" s="33">
        <v>2046.0</v>
      </c>
      <c r="F19" s="33">
        <v>84.0</v>
      </c>
      <c r="G19" s="33">
        <v>282.0</v>
      </c>
      <c r="H19" s="33">
        <v>0.0</v>
      </c>
      <c r="I19" s="33">
        <v>174.0</v>
      </c>
      <c r="J19" s="33">
        <v>199.0</v>
      </c>
      <c r="K19" s="33">
        <v>205.0</v>
      </c>
      <c r="L19" s="33" t="s">
        <v>29</v>
      </c>
      <c r="M19" s="33">
        <v>42.0</v>
      </c>
      <c r="N19" s="33">
        <v>222.0</v>
      </c>
      <c r="O19" s="33">
        <v>20.0</v>
      </c>
      <c r="P19" s="33">
        <v>206.0</v>
      </c>
      <c r="Q19" s="33">
        <v>7.0</v>
      </c>
      <c r="R19" s="33">
        <v>0.0</v>
      </c>
      <c r="S19" s="33">
        <v>0.0</v>
      </c>
      <c r="T19" s="35" t="s">
        <v>37</v>
      </c>
      <c r="U19" s="36" t="s">
        <v>50</v>
      </c>
      <c r="V19" s="37" t="s">
        <v>29</v>
      </c>
      <c r="W19" s="38">
        <v>0.019444444444444445</v>
      </c>
      <c r="X19" s="53"/>
      <c r="Y19" s="40"/>
    </row>
    <row r="20" ht="15.75" customHeight="1">
      <c r="A20" s="19">
        <v>18.0</v>
      </c>
      <c r="B20" s="20" t="s">
        <v>27</v>
      </c>
      <c r="C20" s="21" t="str">
        <f>HYPERLINK("https://azurlane.koumakan.jp/Benson","Benson")</f>
        <v>Benson</v>
      </c>
      <c r="D20" s="22" t="s">
        <v>36</v>
      </c>
      <c r="E20" s="22">
        <v>1870.0</v>
      </c>
      <c r="F20" s="22">
        <v>89.0</v>
      </c>
      <c r="G20" s="22">
        <v>324.0</v>
      </c>
      <c r="H20" s="22">
        <v>0.0</v>
      </c>
      <c r="I20" s="22">
        <v>175.0</v>
      </c>
      <c r="J20" s="22">
        <v>207.0</v>
      </c>
      <c r="K20" s="22">
        <v>210.0</v>
      </c>
      <c r="L20" s="22" t="s">
        <v>29</v>
      </c>
      <c r="M20" s="22">
        <v>45.0</v>
      </c>
      <c r="N20" s="22">
        <v>207.0</v>
      </c>
      <c r="O20" s="22">
        <v>72.0</v>
      </c>
      <c r="P20" s="22">
        <v>196.0</v>
      </c>
      <c r="Q20" s="22">
        <v>8.0</v>
      </c>
      <c r="R20" s="22">
        <v>0.0</v>
      </c>
      <c r="S20" s="22">
        <v>0.0</v>
      </c>
      <c r="T20" s="24" t="s">
        <v>37</v>
      </c>
      <c r="U20" s="58"/>
      <c r="V20" s="26" t="s">
        <v>29</v>
      </c>
      <c r="W20" s="27">
        <v>0.01875</v>
      </c>
      <c r="X20" s="54"/>
      <c r="Y20" s="29"/>
    </row>
    <row r="21" ht="15.75" customHeight="1">
      <c r="A21" s="30">
        <v>19.0</v>
      </c>
      <c r="B21" s="31" t="s">
        <v>27</v>
      </c>
      <c r="C21" s="32" t="str">
        <f>HYPERLINK("https://azurlane.koumakan.jp/Laffey","Laffey")</f>
        <v>Laffey</v>
      </c>
      <c r="D21" s="33" t="s">
        <v>28</v>
      </c>
      <c r="E21" s="33">
        <v>2029.0</v>
      </c>
      <c r="F21" s="33">
        <v>102.0</v>
      </c>
      <c r="G21" s="33">
        <v>306.0</v>
      </c>
      <c r="H21" s="33">
        <v>0.0</v>
      </c>
      <c r="I21" s="33">
        <v>180.0</v>
      </c>
      <c r="J21" s="33">
        <v>223.0</v>
      </c>
      <c r="K21" s="33">
        <v>210.0</v>
      </c>
      <c r="L21" s="33" t="s">
        <v>29</v>
      </c>
      <c r="M21" s="33">
        <v>45.0</v>
      </c>
      <c r="N21" s="33">
        <v>230.0</v>
      </c>
      <c r="O21" s="33">
        <v>18.0</v>
      </c>
      <c r="P21" s="33">
        <v>202.0</v>
      </c>
      <c r="Q21" s="33">
        <v>9.0</v>
      </c>
      <c r="R21" s="33">
        <v>0.0</v>
      </c>
      <c r="S21" s="33">
        <v>0.0</v>
      </c>
      <c r="T21" s="35" t="s">
        <v>37</v>
      </c>
      <c r="U21" s="36" t="s">
        <v>43</v>
      </c>
      <c r="V21" s="37" t="s">
        <v>29</v>
      </c>
      <c r="W21" s="38">
        <v>0.01875</v>
      </c>
      <c r="X21" s="53"/>
      <c r="Y21" s="40"/>
    </row>
    <row r="22" ht="15.75" customHeight="1">
      <c r="A22" s="19">
        <v>19.1</v>
      </c>
      <c r="B22" s="20" t="s">
        <v>27</v>
      </c>
      <c r="C22" s="21" t="str">
        <f>HYPERLINK("https://azurlane.koumakan.jp/Laffey#Retrofit","Laffey (R)")</f>
        <v>Laffey (R)</v>
      </c>
      <c r="D22" s="22" t="s">
        <v>32</v>
      </c>
      <c r="E22" s="22">
        <v>2194.0</v>
      </c>
      <c r="F22" s="22">
        <v>162.0</v>
      </c>
      <c r="G22" s="22">
        <v>346.0</v>
      </c>
      <c r="H22" s="22">
        <v>0.0</v>
      </c>
      <c r="I22" s="22">
        <v>180.0</v>
      </c>
      <c r="J22" s="22">
        <v>223.0</v>
      </c>
      <c r="K22" s="22">
        <v>250.0</v>
      </c>
      <c r="L22" s="22" t="s">
        <v>29</v>
      </c>
      <c r="M22" s="22">
        <v>45.0</v>
      </c>
      <c r="N22" s="22">
        <v>230.0</v>
      </c>
      <c r="O22" s="23">
        <v>18.0</v>
      </c>
      <c r="P22" s="22">
        <v>202.0</v>
      </c>
      <c r="Q22" s="22">
        <v>9.0</v>
      </c>
      <c r="R22" s="22">
        <v>0.0</v>
      </c>
      <c r="S22" s="22">
        <v>0.0</v>
      </c>
      <c r="T22" s="24" t="s">
        <v>37</v>
      </c>
      <c r="U22" s="59" t="s">
        <v>42</v>
      </c>
      <c r="W22" s="60"/>
      <c r="X22" s="28"/>
      <c r="Y22" s="29"/>
    </row>
    <row r="23" ht="15.75" customHeight="1">
      <c r="A23" s="30">
        <v>26.0</v>
      </c>
      <c r="B23" s="31" t="s">
        <v>27</v>
      </c>
      <c r="C23" s="32" t="str">
        <f>HYPERLINK("https://azurlane.koumakan.jp/Sims","Sims")</f>
        <v>Sims</v>
      </c>
      <c r="D23" s="33" t="s">
        <v>36</v>
      </c>
      <c r="E23" s="33">
        <v>1859.0</v>
      </c>
      <c r="F23" s="33">
        <v>82.0</v>
      </c>
      <c r="G23" s="33">
        <v>290.0</v>
      </c>
      <c r="H23" s="33">
        <v>0.0</v>
      </c>
      <c r="I23" s="33">
        <v>175.0</v>
      </c>
      <c r="J23" s="33">
        <v>207.0</v>
      </c>
      <c r="K23" s="33">
        <v>206.0</v>
      </c>
      <c r="L23" s="33" t="s">
        <v>29</v>
      </c>
      <c r="M23" s="33">
        <v>42.0</v>
      </c>
      <c r="N23" s="33">
        <v>200.0</v>
      </c>
      <c r="O23" s="33">
        <v>45.0</v>
      </c>
      <c r="P23" s="33">
        <v>211.0</v>
      </c>
      <c r="Q23" s="33">
        <v>8.0</v>
      </c>
      <c r="R23" s="33">
        <v>0.0</v>
      </c>
      <c r="S23" s="33">
        <v>0.0</v>
      </c>
      <c r="T23" s="35" t="s">
        <v>37</v>
      </c>
      <c r="U23" s="36" t="s">
        <v>48</v>
      </c>
      <c r="V23" s="61" t="s">
        <v>29</v>
      </c>
      <c r="W23" s="62">
        <v>0.018055555555555554</v>
      </c>
      <c r="X23" s="53"/>
      <c r="Y23" s="40"/>
    </row>
    <row r="24" ht="15.75" customHeight="1">
      <c r="A24" s="19">
        <v>26.1</v>
      </c>
      <c r="B24" s="20" t="s">
        <v>27</v>
      </c>
      <c r="C24" s="21" t="str">
        <f>HYPERLINK("https://azurlane.koumakan.jp/Sims#Retrofit","Sims (R)")</f>
        <v>Sims (R)</v>
      </c>
      <c r="D24" s="22" t="s">
        <v>28</v>
      </c>
      <c r="E24" s="22">
        <v>2069.0</v>
      </c>
      <c r="F24" s="22">
        <v>112.0</v>
      </c>
      <c r="G24" s="22">
        <v>290.0</v>
      </c>
      <c r="H24" s="22">
        <v>0.0</v>
      </c>
      <c r="I24" s="22">
        <v>265.0</v>
      </c>
      <c r="J24" s="22">
        <v>222.0</v>
      </c>
      <c r="K24" s="22">
        <v>206.0</v>
      </c>
      <c r="L24" s="22" t="s">
        <v>29</v>
      </c>
      <c r="M24" s="22">
        <v>45.0</v>
      </c>
      <c r="N24" s="22">
        <v>200.0</v>
      </c>
      <c r="O24" s="23">
        <v>45.0</v>
      </c>
      <c r="P24" s="22">
        <v>211.0</v>
      </c>
      <c r="Q24" s="22">
        <v>8.0</v>
      </c>
      <c r="R24" s="22">
        <v>0.0</v>
      </c>
      <c r="S24" s="22">
        <v>0.0</v>
      </c>
      <c r="T24" s="24" t="s">
        <v>37</v>
      </c>
      <c r="U24" s="59" t="s">
        <v>42</v>
      </c>
      <c r="W24" s="60"/>
      <c r="X24" s="54"/>
      <c r="Y24" s="29"/>
    </row>
    <row r="25" ht="15.75" customHeight="1">
      <c r="A25" s="30">
        <v>27.0</v>
      </c>
      <c r="B25" s="31" t="s">
        <v>27</v>
      </c>
      <c r="C25" s="32" t="str">
        <f>HYPERLINK("https://azurlane.koumakan.jp/Hammann","Hammann")</f>
        <v>Hammann</v>
      </c>
      <c r="D25" s="33" t="s">
        <v>36</v>
      </c>
      <c r="E25" s="33">
        <v>1859.0</v>
      </c>
      <c r="F25" s="33">
        <v>82.0</v>
      </c>
      <c r="G25" s="33">
        <v>290.0</v>
      </c>
      <c r="H25" s="33">
        <v>0.0</v>
      </c>
      <c r="I25" s="33">
        <v>175.0</v>
      </c>
      <c r="J25" s="33">
        <v>207.0</v>
      </c>
      <c r="K25" s="33">
        <v>206.0</v>
      </c>
      <c r="L25" s="33" t="s">
        <v>29</v>
      </c>
      <c r="M25" s="33">
        <v>42.0</v>
      </c>
      <c r="N25" s="33">
        <v>200.0</v>
      </c>
      <c r="O25" s="33">
        <v>47.0</v>
      </c>
      <c r="P25" s="33">
        <v>211.0</v>
      </c>
      <c r="Q25" s="33">
        <v>8.0</v>
      </c>
      <c r="R25" s="33">
        <v>0.0</v>
      </c>
      <c r="S25" s="33">
        <v>0.0</v>
      </c>
      <c r="T25" s="35" t="s">
        <v>37</v>
      </c>
      <c r="U25" s="36" t="s">
        <v>48</v>
      </c>
      <c r="V25" s="37" t="s">
        <v>29</v>
      </c>
      <c r="W25" s="38">
        <v>0.018055555555555554</v>
      </c>
      <c r="X25" s="53"/>
      <c r="Y25" s="40"/>
    </row>
    <row r="26" ht="15.75" customHeight="1">
      <c r="A26" s="19">
        <v>27.1</v>
      </c>
      <c r="B26" s="20" t="s">
        <v>27</v>
      </c>
      <c r="C26" s="21" t="str">
        <f>HYPERLINK("https://azurlane.koumakan.jp/Hammann#Retrofit","Hammann (R)")</f>
        <v>Hammann (R)</v>
      </c>
      <c r="D26" s="22" t="s">
        <v>28</v>
      </c>
      <c r="E26" s="22">
        <v>2069.0</v>
      </c>
      <c r="F26" s="22">
        <v>97.0</v>
      </c>
      <c r="G26" s="22">
        <v>290.0</v>
      </c>
      <c r="H26" s="22">
        <v>0.0</v>
      </c>
      <c r="I26" s="22">
        <v>265.0</v>
      </c>
      <c r="J26" s="22">
        <v>227.0</v>
      </c>
      <c r="K26" s="22">
        <v>206.0</v>
      </c>
      <c r="L26" s="22" t="s">
        <v>29</v>
      </c>
      <c r="M26" s="22">
        <v>45.0</v>
      </c>
      <c r="N26" s="22">
        <v>200.0</v>
      </c>
      <c r="O26" s="23">
        <v>47.0</v>
      </c>
      <c r="P26" s="22">
        <v>211.0</v>
      </c>
      <c r="Q26" s="22">
        <v>8.0</v>
      </c>
      <c r="R26" s="22">
        <v>0.0</v>
      </c>
      <c r="S26" s="22">
        <v>0.0</v>
      </c>
      <c r="T26" s="24" t="s">
        <v>37</v>
      </c>
      <c r="U26" s="59" t="s">
        <v>42</v>
      </c>
      <c r="W26" s="60"/>
      <c r="X26" s="28"/>
      <c r="Y26" s="29"/>
    </row>
    <row r="27" ht="15.75" customHeight="1">
      <c r="A27" s="30">
        <v>28.0</v>
      </c>
      <c r="B27" s="31" t="s">
        <v>27</v>
      </c>
      <c r="C27" s="32" t="str">
        <f>HYPERLINK("https://azurlane.koumakan.jp/Eldridge","Eldridge")</f>
        <v>Eldridge</v>
      </c>
      <c r="D27" s="33" t="s">
        <v>32</v>
      </c>
      <c r="E27" s="33">
        <v>1762.0</v>
      </c>
      <c r="F27" s="33">
        <v>82.0</v>
      </c>
      <c r="G27" s="33">
        <v>386.0</v>
      </c>
      <c r="H27" s="33">
        <v>0.0</v>
      </c>
      <c r="I27" s="33">
        <v>187.0</v>
      </c>
      <c r="J27" s="63">
        <v>234.0</v>
      </c>
      <c r="K27" s="33">
        <v>271.0</v>
      </c>
      <c r="L27" s="33" t="s">
        <v>29</v>
      </c>
      <c r="M27" s="33">
        <v>25.0</v>
      </c>
      <c r="N27" s="33">
        <v>218.0</v>
      </c>
      <c r="O27" s="33">
        <v>75.0</v>
      </c>
      <c r="P27" s="63">
        <v>229.0</v>
      </c>
      <c r="Q27" s="33">
        <v>10.0</v>
      </c>
      <c r="R27" s="33">
        <v>0.0</v>
      </c>
      <c r="S27" s="33">
        <v>0.0</v>
      </c>
      <c r="T27" s="35" t="s">
        <v>37</v>
      </c>
      <c r="U27" s="57"/>
      <c r="V27" s="37" t="s">
        <v>51</v>
      </c>
      <c r="W27" s="52"/>
      <c r="X27" s="39"/>
      <c r="Y27" s="40"/>
    </row>
    <row r="28" ht="15.75" customHeight="1">
      <c r="A28" s="19">
        <v>29.0</v>
      </c>
      <c r="B28" s="20" t="s">
        <v>52</v>
      </c>
      <c r="C28" s="21" t="str">
        <f>HYPERLINK("https://azurlane.koumakan.jp/Omaha","Omaha")</f>
        <v>Omaha</v>
      </c>
      <c r="D28" s="22" t="s">
        <v>40</v>
      </c>
      <c r="E28" s="22">
        <v>3312.0</v>
      </c>
      <c r="F28" s="22">
        <v>144.0</v>
      </c>
      <c r="G28" s="22">
        <v>210.0</v>
      </c>
      <c r="H28" s="22">
        <v>0.0</v>
      </c>
      <c r="I28" s="22">
        <v>287.0</v>
      </c>
      <c r="J28" s="22">
        <v>185.0</v>
      </c>
      <c r="K28" s="22">
        <v>127.0</v>
      </c>
      <c r="L28" s="22" t="s">
        <v>29</v>
      </c>
      <c r="M28" s="22">
        <v>35.0</v>
      </c>
      <c r="N28" s="22">
        <v>156.0</v>
      </c>
      <c r="O28" s="22">
        <v>67.0</v>
      </c>
      <c r="P28" s="22">
        <v>82.0</v>
      </c>
      <c r="Q28" s="22">
        <v>8.0</v>
      </c>
      <c r="R28" s="22">
        <v>0.0</v>
      </c>
      <c r="S28" s="22">
        <v>0.0</v>
      </c>
      <c r="T28" s="24" t="s">
        <v>37</v>
      </c>
      <c r="U28" s="25" t="s">
        <v>53</v>
      </c>
      <c r="V28" s="26" t="s">
        <v>54</v>
      </c>
      <c r="W28" s="27">
        <v>0.04513888888888889</v>
      </c>
      <c r="X28" s="54"/>
      <c r="Y28" s="29"/>
    </row>
    <row r="29" ht="15.75" customHeight="1">
      <c r="A29" s="30">
        <v>30.0</v>
      </c>
      <c r="B29" s="31" t="s">
        <v>52</v>
      </c>
      <c r="C29" s="32" t="str">
        <f>HYPERLINK("https://azurlane.koumakan.jp/Raleigh","Raleigh")</f>
        <v>Raleigh</v>
      </c>
      <c r="D29" s="33" t="s">
        <v>40</v>
      </c>
      <c r="E29" s="33">
        <v>3312.0</v>
      </c>
      <c r="F29" s="33">
        <v>144.0</v>
      </c>
      <c r="G29" s="33">
        <v>210.0</v>
      </c>
      <c r="H29" s="33">
        <v>0.0</v>
      </c>
      <c r="I29" s="33">
        <v>287.0</v>
      </c>
      <c r="J29" s="33">
        <v>185.0</v>
      </c>
      <c r="K29" s="33">
        <v>127.0</v>
      </c>
      <c r="L29" s="33" t="s">
        <v>29</v>
      </c>
      <c r="M29" s="33">
        <v>35.0</v>
      </c>
      <c r="N29" s="33">
        <v>156.0</v>
      </c>
      <c r="O29" s="33">
        <v>82.0</v>
      </c>
      <c r="P29" s="33">
        <v>82.0</v>
      </c>
      <c r="Q29" s="33">
        <v>8.0</v>
      </c>
      <c r="R29" s="33">
        <v>0.0</v>
      </c>
      <c r="S29" s="33">
        <v>0.0</v>
      </c>
      <c r="T29" s="35" t="s">
        <v>37</v>
      </c>
      <c r="U29" s="36" t="s">
        <v>53</v>
      </c>
      <c r="V29" s="37" t="s">
        <v>54</v>
      </c>
      <c r="W29" s="38">
        <v>0.04513888888888889</v>
      </c>
      <c r="X29" s="53"/>
      <c r="Y29" s="40"/>
    </row>
    <row r="30" ht="15.75" customHeight="1">
      <c r="A30" s="19">
        <v>31.0</v>
      </c>
      <c r="B30" s="20" t="s">
        <v>52</v>
      </c>
      <c r="C30" s="21" t="str">
        <f>HYPERLINK("https://azurlane.koumakan.jp/Brooklyn","Brooklyn")</f>
        <v>Brooklyn</v>
      </c>
      <c r="D30" s="22" t="s">
        <v>36</v>
      </c>
      <c r="E30" s="22">
        <v>3550.0</v>
      </c>
      <c r="F30" s="22">
        <v>166.0</v>
      </c>
      <c r="G30" s="22">
        <v>0.0</v>
      </c>
      <c r="H30" s="22">
        <v>0.0</v>
      </c>
      <c r="I30" s="22">
        <v>313.0</v>
      </c>
      <c r="J30" s="22">
        <v>183.0</v>
      </c>
      <c r="K30" s="22">
        <v>106.0</v>
      </c>
      <c r="L30" s="22" t="s">
        <v>29</v>
      </c>
      <c r="M30" s="22">
        <v>32.0</v>
      </c>
      <c r="N30" s="22">
        <v>162.0</v>
      </c>
      <c r="O30" s="22">
        <v>55.0</v>
      </c>
      <c r="P30" s="22">
        <v>100.0</v>
      </c>
      <c r="Q30" s="22">
        <v>9.0</v>
      </c>
      <c r="R30" s="22">
        <v>0.0</v>
      </c>
      <c r="S30" s="22">
        <v>0.0</v>
      </c>
      <c r="T30" s="24" t="s">
        <v>37</v>
      </c>
      <c r="U30" s="25" t="s">
        <v>43</v>
      </c>
      <c r="V30" s="26" t="s">
        <v>29</v>
      </c>
      <c r="W30" s="27">
        <v>0.052083333333333336</v>
      </c>
      <c r="X30" s="54"/>
      <c r="Y30" s="29"/>
    </row>
    <row r="31" ht="15.75" customHeight="1">
      <c r="A31" s="30">
        <v>32.0</v>
      </c>
      <c r="B31" s="31" t="s">
        <v>52</v>
      </c>
      <c r="C31" s="32" t="str">
        <f>HYPERLINK("https://azurlane.koumakan.jp/Phoenix","Phoenix")</f>
        <v>Phoenix</v>
      </c>
      <c r="D31" s="33" t="s">
        <v>36</v>
      </c>
      <c r="E31" s="33">
        <v>3550.0</v>
      </c>
      <c r="F31" s="33">
        <v>166.0</v>
      </c>
      <c r="G31" s="33">
        <v>0.0</v>
      </c>
      <c r="H31" s="33">
        <v>0.0</v>
      </c>
      <c r="I31" s="33">
        <v>313.0</v>
      </c>
      <c r="J31" s="33">
        <v>183.0</v>
      </c>
      <c r="K31" s="33">
        <v>106.0</v>
      </c>
      <c r="L31" s="33" t="s">
        <v>29</v>
      </c>
      <c r="M31" s="33">
        <v>32.0</v>
      </c>
      <c r="N31" s="33">
        <v>162.0</v>
      </c>
      <c r="O31" s="33">
        <v>88.0</v>
      </c>
      <c r="P31" s="33">
        <v>97.0</v>
      </c>
      <c r="Q31" s="33">
        <v>9.0</v>
      </c>
      <c r="R31" s="33">
        <v>0.0</v>
      </c>
      <c r="S31" s="33">
        <v>0.0</v>
      </c>
      <c r="T31" s="35" t="s">
        <v>37</v>
      </c>
      <c r="U31" s="36" t="s">
        <v>55</v>
      </c>
      <c r="V31" s="37" t="s">
        <v>54</v>
      </c>
      <c r="W31" s="38">
        <v>0.052083333333333336</v>
      </c>
      <c r="X31" s="53"/>
      <c r="Y31" s="40"/>
    </row>
    <row r="32" ht="15.75" customHeight="1">
      <c r="A32" s="19">
        <v>33.0</v>
      </c>
      <c r="B32" s="20" t="s">
        <v>52</v>
      </c>
      <c r="C32" s="21" t="str">
        <f>HYPERLINK("https://azurlane.koumakan.jp/Helena","Helena")</f>
        <v>Helena</v>
      </c>
      <c r="D32" s="22" t="s">
        <v>28</v>
      </c>
      <c r="E32" s="22">
        <v>3688.0</v>
      </c>
      <c r="F32" s="22">
        <v>174.0</v>
      </c>
      <c r="G32" s="22">
        <v>0.0</v>
      </c>
      <c r="H32" s="22">
        <v>0.0</v>
      </c>
      <c r="I32" s="22">
        <v>323.0</v>
      </c>
      <c r="J32" s="22">
        <v>188.0</v>
      </c>
      <c r="K32" s="22">
        <v>106.0</v>
      </c>
      <c r="L32" s="22" t="s">
        <v>29</v>
      </c>
      <c r="M32" s="22">
        <v>32.0</v>
      </c>
      <c r="N32" s="22">
        <v>180.0</v>
      </c>
      <c r="O32" s="22">
        <v>33.0</v>
      </c>
      <c r="P32" s="22">
        <v>111.0</v>
      </c>
      <c r="Q32" s="22">
        <v>10.0</v>
      </c>
      <c r="R32" s="22">
        <v>0.0</v>
      </c>
      <c r="S32" s="22">
        <v>0.0</v>
      </c>
      <c r="T32" s="24" t="s">
        <v>37</v>
      </c>
      <c r="U32" s="25" t="s">
        <v>56</v>
      </c>
      <c r="V32" s="26" t="s">
        <v>29</v>
      </c>
      <c r="W32" s="27">
        <v>0.052083333333333336</v>
      </c>
      <c r="X32" s="28"/>
      <c r="Y32" s="29"/>
    </row>
    <row r="33" ht="15.75" customHeight="1">
      <c r="A33" s="30">
        <v>33.1</v>
      </c>
      <c r="B33" s="31" t="s">
        <v>52</v>
      </c>
      <c r="C33" s="32" t="s">
        <v>57</v>
      </c>
      <c r="D33" s="33" t="s">
        <v>32</v>
      </c>
      <c r="E33" s="33">
        <v>3928.0</v>
      </c>
      <c r="F33" s="33">
        <v>184.0</v>
      </c>
      <c r="G33" s="33">
        <v>0.0</v>
      </c>
      <c r="H33" s="33">
        <v>0.0</v>
      </c>
      <c r="I33" s="33">
        <v>413.0</v>
      </c>
      <c r="J33" s="33">
        <v>193.0</v>
      </c>
      <c r="K33" s="33">
        <v>106.0</v>
      </c>
      <c r="L33" s="35" t="s">
        <v>29</v>
      </c>
      <c r="M33" s="33">
        <v>32.0</v>
      </c>
      <c r="N33" s="33">
        <v>195.0</v>
      </c>
      <c r="O33" s="33">
        <v>33.0</v>
      </c>
      <c r="P33" s="33">
        <v>111.0</v>
      </c>
      <c r="Q33" s="33">
        <v>10.0</v>
      </c>
      <c r="R33" s="33">
        <v>0.0</v>
      </c>
      <c r="S33" s="33">
        <v>0.0</v>
      </c>
      <c r="T33" s="35" t="s">
        <v>37</v>
      </c>
      <c r="U33" s="64" t="s">
        <v>42</v>
      </c>
      <c r="W33" s="56"/>
      <c r="X33" s="39"/>
      <c r="Y33" s="40"/>
    </row>
    <row r="34" ht="15.75" customHeight="1">
      <c r="A34" s="19">
        <v>34.0</v>
      </c>
      <c r="B34" s="20" t="s">
        <v>52</v>
      </c>
      <c r="C34" s="21" t="str">
        <f>HYPERLINK("https://azurlane.koumakan.jp/Atlanta","Atlanta")</f>
        <v>Atlanta</v>
      </c>
      <c r="D34" s="22" t="s">
        <v>36</v>
      </c>
      <c r="E34" s="22">
        <v>3598.0</v>
      </c>
      <c r="F34" s="22">
        <v>131.0</v>
      </c>
      <c r="G34" s="22">
        <v>159.0</v>
      </c>
      <c r="H34" s="22">
        <v>0.0</v>
      </c>
      <c r="I34" s="22">
        <v>431.0</v>
      </c>
      <c r="J34" s="22">
        <v>181.0</v>
      </c>
      <c r="K34" s="22">
        <v>112.0</v>
      </c>
      <c r="L34" s="22" t="s">
        <v>29</v>
      </c>
      <c r="M34" s="22">
        <v>32.0</v>
      </c>
      <c r="N34" s="22">
        <v>173.0</v>
      </c>
      <c r="O34" s="22">
        <v>12.0</v>
      </c>
      <c r="P34" s="22">
        <v>190.0</v>
      </c>
      <c r="Q34" s="22">
        <v>9.0</v>
      </c>
      <c r="R34" s="22">
        <v>0.0</v>
      </c>
      <c r="S34" s="22">
        <v>0.0</v>
      </c>
      <c r="T34" s="24" t="s">
        <v>37</v>
      </c>
      <c r="U34" s="25" t="s">
        <v>58</v>
      </c>
      <c r="V34" s="26" t="s">
        <v>54</v>
      </c>
      <c r="W34" s="27">
        <v>0.04861111111111111</v>
      </c>
      <c r="X34" s="28"/>
      <c r="Y34" s="29"/>
    </row>
    <row r="35" ht="15.75" customHeight="1">
      <c r="A35" s="30">
        <v>35.0</v>
      </c>
      <c r="B35" s="31" t="s">
        <v>52</v>
      </c>
      <c r="C35" s="32" t="str">
        <f>HYPERLINK("https://azurlane.koumakan.jp/Juneau","Juneau")</f>
        <v>Juneau</v>
      </c>
      <c r="D35" s="33" t="s">
        <v>36</v>
      </c>
      <c r="E35" s="33">
        <v>3598.0</v>
      </c>
      <c r="F35" s="33">
        <v>131.0</v>
      </c>
      <c r="G35" s="33">
        <v>159.0</v>
      </c>
      <c r="H35" s="33">
        <v>0.0</v>
      </c>
      <c r="I35" s="33">
        <v>431.0</v>
      </c>
      <c r="J35" s="33">
        <v>181.0</v>
      </c>
      <c r="K35" s="33">
        <v>112.0</v>
      </c>
      <c r="L35" s="33" t="s">
        <v>29</v>
      </c>
      <c r="M35" s="33">
        <v>32.0</v>
      </c>
      <c r="N35" s="33">
        <v>173.0</v>
      </c>
      <c r="O35" s="33">
        <v>18.0</v>
      </c>
      <c r="P35" s="33">
        <v>190.0</v>
      </c>
      <c r="Q35" s="33">
        <v>9.0</v>
      </c>
      <c r="R35" s="33">
        <v>0.0</v>
      </c>
      <c r="S35" s="33">
        <v>0.0</v>
      </c>
      <c r="T35" s="35" t="s">
        <v>37</v>
      </c>
      <c r="U35" s="36" t="s">
        <v>58</v>
      </c>
      <c r="V35" s="37" t="s">
        <v>29</v>
      </c>
      <c r="W35" s="38">
        <v>0.04861111111111111</v>
      </c>
      <c r="X35" s="39" t="s">
        <v>59</v>
      </c>
      <c r="Y35" s="40"/>
    </row>
    <row r="36" ht="15.75" customHeight="1">
      <c r="A36" s="19">
        <v>36.0</v>
      </c>
      <c r="B36" s="20" t="s">
        <v>52</v>
      </c>
      <c r="C36" s="21" t="str">
        <f>HYPERLINK("https://azurlane.koumakan.jp/San_Diego","San Diego")</f>
        <v>San Diego</v>
      </c>
      <c r="D36" s="22" t="s">
        <v>32</v>
      </c>
      <c r="E36" s="22">
        <v>3842.0</v>
      </c>
      <c r="F36" s="22">
        <v>139.0</v>
      </c>
      <c r="G36" s="22">
        <v>170.0</v>
      </c>
      <c r="H36" s="22">
        <v>0.0</v>
      </c>
      <c r="I36" s="22">
        <v>458.0</v>
      </c>
      <c r="J36" s="22">
        <v>193.0</v>
      </c>
      <c r="K36" s="22">
        <v>112.0</v>
      </c>
      <c r="L36" s="22" t="s">
        <v>29</v>
      </c>
      <c r="M36" s="22">
        <v>32.0</v>
      </c>
      <c r="N36" s="22">
        <v>173.0</v>
      </c>
      <c r="O36" s="22">
        <v>85.0</v>
      </c>
      <c r="P36" s="22">
        <v>204.0</v>
      </c>
      <c r="Q36" s="22">
        <v>11.0</v>
      </c>
      <c r="R36" s="22">
        <v>0.0</v>
      </c>
      <c r="S36" s="22">
        <v>0.0</v>
      </c>
      <c r="T36" s="24" t="s">
        <v>37</v>
      </c>
      <c r="U36" s="58"/>
      <c r="V36" s="26" t="s">
        <v>60</v>
      </c>
      <c r="W36" s="27">
        <v>0.04861111111111111</v>
      </c>
      <c r="X36" s="28" t="s">
        <v>61</v>
      </c>
      <c r="Y36" s="29"/>
    </row>
    <row r="37" ht="15.75" customHeight="1">
      <c r="A37" s="30">
        <v>36.1</v>
      </c>
      <c r="B37" s="31" t="s">
        <v>52</v>
      </c>
      <c r="C37" s="32" t="str">
        <f>HYPERLINK("https://azurlane.koumakan.jp/San_Diego#Retrofit","San Diego (R)")</f>
        <v>San Diego (R)</v>
      </c>
      <c r="D37" s="33" t="s">
        <v>34</v>
      </c>
      <c r="E37" s="33">
        <v>4082.0</v>
      </c>
      <c r="F37" s="33">
        <v>184.0</v>
      </c>
      <c r="G37" s="33">
        <v>170.0</v>
      </c>
      <c r="H37" s="33">
        <v>0.0</v>
      </c>
      <c r="I37" s="63">
        <v>568.0</v>
      </c>
      <c r="J37" s="33">
        <v>213.0</v>
      </c>
      <c r="K37" s="33">
        <v>112.0</v>
      </c>
      <c r="L37" s="33" t="s">
        <v>29</v>
      </c>
      <c r="M37" s="33">
        <v>32.0</v>
      </c>
      <c r="N37" s="33">
        <v>173.0</v>
      </c>
      <c r="O37" s="34">
        <v>85.0</v>
      </c>
      <c r="P37" s="33">
        <v>204.0</v>
      </c>
      <c r="Q37" s="33">
        <v>11.0</v>
      </c>
      <c r="R37" s="33">
        <v>0.0</v>
      </c>
      <c r="S37" s="33">
        <v>0.0</v>
      </c>
      <c r="T37" s="35" t="s">
        <v>37</v>
      </c>
      <c r="U37" s="55" t="s">
        <v>42</v>
      </c>
      <c r="W37" s="56"/>
      <c r="X37" s="39" t="s">
        <v>62</v>
      </c>
      <c r="Y37" s="40"/>
    </row>
    <row r="38" ht="15.75" customHeight="1">
      <c r="A38" s="19">
        <v>37.0</v>
      </c>
      <c r="B38" s="20" t="s">
        <v>52</v>
      </c>
      <c r="C38" s="21" t="str">
        <f>HYPERLINK("https://azurlane.koumakan.jp/Cleveland","Cleveland")</f>
        <v>Cleveland</v>
      </c>
      <c r="D38" s="22" t="s">
        <v>28</v>
      </c>
      <c r="E38" s="22">
        <v>4406.0</v>
      </c>
      <c r="F38" s="22">
        <v>167.0</v>
      </c>
      <c r="G38" s="22">
        <v>0.0</v>
      </c>
      <c r="H38" s="22">
        <v>0.0</v>
      </c>
      <c r="I38" s="22">
        <v>330.0</v>
      </c>
      <c r="J38" s="22">
        <v>191.0</v>
      </c>
      <c r="K38" s="22">
        <v>109.0</v>
      </c>
      <c r="L38" s="22" t="s">
        <v>29</v>
      </c>
      <c r="M38" s="22">
        <v>32.0</v>
      </c>
      <c r="N38" s="22">
        <v>168.0</v>
      </c>
      <c r="O38" s="22">
        <v>71.0</v>
      </c>
      <c r="P38" s="22">
        <v>102.0</v>
      </c>
      <c r="Q38" s="22">
        <v>10.0</v>
      </c>
      <c r="R38" s="22">
        <v>0.0</v>
      </c>
      <c r="S38" s="22">
        <v>0.0</v>
      </c>
      <c r="T38" s="24" t="s">
        <v>37</v>
      </c>
      <c r="U38" s="25" t="s">
        <v>63</v>
      </c>
      <c r="V38" s="26" t="s">
        <v>29</v>
      </c>
      <c r="W38" s="27">
        <v>0.059027777777777776</v>
      </c>
      <c r="X38" s="54"/>
      <c r="Y38" s="29"/>
    </row>
    <row r="39" ht="15.75" customHeight="1">
      <c r="A39" s="30">
        <v>38.0</v>
      </c>
      <c r="B39" s="31" t="s">
        <v>52</v>
      </c>
      <c r="C39" s="32" t="str">
        <f>HYPERLINK("https://azurlane.koumakan.jp/Columbia","Columbia")</f>
        <v>Columbia</v>
      </c>
      <c r="D39" s="33" t="s">
        <v>28</v>
      </c>
      <c r="E39" s="33">
        <v>4406.0</v>
      </c>
      <c r="F39" s="33">
        <v>170.0</v>
      </c>
      <c r="G39" s="33">
        <v>0.0</v>
      </c>
      <c r="H39" s="33">
        <v>0.0</v>
      </c>
      <c r="I39" s="33">
        <v>330.0</v>
      </c>
      <c r="J39" s="33">
        <v>190.0</v>
      </c>
      <c r="K39" s="33">
        <v>109.0</v>
      </c>
      <c r="L39" s="33" t="s">
        <v>29</v>
      </c>
      <c r="M39" s="33">
        <v>32.0</v>
      </c>
      <c r="N39" s="33">
        <v>167.0</v>
      </c>
      <c r="O39" s="33">
        <v>70.0</v>
      </c>
      <c r="P39" s="33">
        <v>102.0</v>
      </c>
      <c r="Q39" s="33">
        <v>10.0</v>
      </c>
      <c r="R39" s="33">
        <v>0.0</v>
      </c>
      <c r="S39" s="33">
        <v>0.0</v>
      </c>
      <c r="T39" s="35" t="s">
        <v>37</v>
      </c>
      <c r="U39" s="36" t="s">
        <v>64</v>
      </c>
      <c r="V39" s="37" t="s">
        <v>39</v>
      </c>
      <c r="W39" s="52"/>
      <c r="X39" s="39" t="s">
        <v>65</v>
      </c>
      <c r="Y39" s="40"/>
    </row>
    <row r="40" ht="15.75" customHeight="1">
      <c r="A40" s="19">
        <v>39.0</v>
      </c>
      <c r="B40" s="20" t="s">
        <v>66</v>
      </c>
      <c r="C40" s="21" t="str">
        <f>HYPERLINK("https://azurlane.koumakan.jp/Pensacola","Pensacola")</f>
        <v>Pensacola</v>
      </c>
      <c r="D40" s="22" t="s">
        <v>40</v>
      </c>
      <c r="E40" s="22">
        <v>3366.0</v>
      </c>
      <c r="F40" s="22">
        <v>235.0</v>
      </c>
      <c r="G40" s="22">
        <v>0.0</v>
      </c>
      <c r="H40" s="22">
        <v>0.0</v>
      </c>
      <c r="I40" s="22">
        <v>202.0</v>
      </c>
      <c r="J40" s="22">
        <v>162.0</v>
      </c>
      <c r="K40" s="22">
        <v>57.0</v>
      </c>
      <c r="L40" s="22" t="s">
        <v>29</v>
      </c>
      <c r="M40" s="22">
        <v>26.0</v>
      </c>
      <c r="N40" s="22">
        <v>121.0</v>
      </c>
      <c r="O40" s="22">
        <v>75.0</v>
      </c>
      <c r="P40" s="22">
        <v>0.0</v>
      </c>
      <c r="Q40" s="22">
        <v>9.0</v>
      </c>
      <c r="R40" s="22">
        <v>0.0</v>
      </c>
      <c r="S40" s="22">
        <v>0.0</v>
      </c>
      <c r="T40" s="24" t="s">
        <v>37</v>
      </c>
      <c r="U40" s="25" t="s">
        <v>67</v>
      </c>
      <c r="V40" s="26" t="s">
        <v>68</v>
      </c>
      <c r="W40" s="27">
        <v>0.05555555555555555</v>
      </c>
      <c r="X40" s="54"/>
      <c r="Y40" s="29"/>
    </row>
    <row r="41" ht="15.75" customHeight="1">
      <c r="A41" s="30">
        <v>40.0</v>
      </c>
      <c r="B41" s="31" t="s">
        <v>66</v>
      </c>
      <c r="C41" s="32" t="str">
        <f>HYPERLINK("https://azurlane.koumakan.jp/Salt_Lake_City","Salt Lake City")</f>
        <v>Salt Lake City</v>
      </c>
      <c r="D41" s="33" t="s">
        <v>40</v>
      </c>
      <c r="E41" s="33">
        <v>3366.0</v>
      </c>
      <c r="F41" s="33">
        <v>235.0</v>
      </c>
      <c r="G41" s="33">
        <v>0.0</v>
      </c>
      <c r="H41" s="33">
        <v>0.0</v>
      </c>
      <c r="I41" s="33">
        <v>202.0</v>
      </c>
      <c r="J41" s="33">
        <v>162.0</v>
      </c>
      <c r="K41" s="33">
        <v>57.0</v>
      </c>
      <c r="L41" s="33" t="s">
        <v>29</v>
      </c>
      <c r="M41" s="33">
        <v>26.0</v>
      </c>
      <c r="N41" s="33">
        <v>121.0</v>
      </c>
      <c r="O41" s="33">
        <v>71.0</v>
      </c>
      <c r="P41" s="33">
        <v>0.0</v>
      </c>
      <c r="Q41" s="33">
        <v>9.0</v>
      </c>
      <c r="R41" s="33">
        <v>0.0</v>
      </c>
      <c r="S41" s="33">
        <v>0.0</v>
      </c>
      <c r="T41" s="35" t="s">
        <v>37</v>
      </c>
      <c r="U41" s="36" t="s">
        <v>69</v>
      </c>
      <c r="V41" s="37" t="s">
        <v>39</v>
      </c>
      <c r="W41" s="52"/>
      <c r="X41" s="53"/>
      <c r="Y41" s="40"/>
    </row>
    <row r="42" ht="15.75" customHeight="1">
      <c r="A42" s="19">
        <v>41.0</v>
      </c>
      <c r="B42" s="20" t="s">
        <v>66</v>
      </c>
      <c r="C42" s="21" t="str">
        <f>HYPERLINK("https://azurlane.koumakan.jp/Northampton","Northampton")</f>
        <v>Northampton</v>
      </c>
      <c r="D42" s="22" t="s">
        <v>36</v>
      </c>
      <c r="E42" s="22">
        <v>3424.0</v>
      </c>
      <c r="F42" s="22">
        <v>243.0</v>
      </c>
      <c r="G42" s="22">
        <v>0.0</v>
      </c>
      <c r="H42" s="22">
        <v>0.0</v>
      </c>
      <c r="I42" s="22">
        <v>209.0</v>
      </c>
      <c r="J42" s="22">
        <v>169.0</v>
      </c>
      <c r="K42" s="22">
        <v>55.0</v>
      </c>
      <c r="L42" s="22" t="s">
        <v>29</v>
      </c>
      <c r="M42" s="22">
        <v>26.0</v>
      </c>
      <c r="N42" s="22">
        <v>125.0</v>
      </c>
      <c r="O42" s="22">
        <v>27.0</v>
      </c>
      <c r="P42" s="22">
        <v>0.0</v>
      </c>
      <c r="Q42" s="22">
        <v>10.0</v>
      </c>
      <c r="R42" s="22">
        <v>0.0</v>
      </c>
      <c r="S42" s="22">
        <v>0.0</v>
      </c>
      <c r="T42" s="24" t="s">
        <v>37</v>
      </c>
      <c r="U42" s="25" t="s">
        <v>70</v>
      </c>
      <c r="V42" s="26" t="s">
        <v>68</v>
      </c>
      <c r="W42" s="27">
        <v>0.06944444444444445</v>
      </c>
      <c r="X42" s="54"/>
      <c r="Y42" s="29"/>
    </row>
    <row r="43" ht="15.75" customHeight="1">
      <c r="A43" s="30">
        <v>42.0</v>
      </c>
      <c r="B43" s="31" t="s">
        <v>66</v>
      </c>
      <c r="C43" s="32" t="str">
        <f>HYPERLINK("https://azurlane.koumakan.jp/Chicago","Chicago")</f>
        <v>Chicago</v>
      </c>
      <c r="D43" s="33" t="s">
        <v>36</v>
      </c>
      <c r="E43" s="33">
        <v>3471.0</v>
      </c>
      <c r="F43" s="33">
        <v>243.0</v>
      </c>
      <c r="G43" s="33">
        <v>0.0</v>
      </c>
      <c r="H43" s="33">
        <v>0.0</v>
      </c>
      <c r="I43" s="33">
        <v>209.0</v>
      </c>
      <c r="J43" s="33">
        <v>169.0</v>
      </c>
      <c r="K43" s="33">
        <v>55.0</v>
      </c>
      <c r="L43" s="33" t="s">
        <v>29</v>
      </c>
      <c r="M43" s="33">
        <v>26.0</v>
      </c>
      <c r="N43" s="33">
        <v>125.0</v>
      </c>
      <c r="O43" s="33">
        <v>32.0</v>
      </c>
      <c r="P43" s="33">
        <v>0.0</v>
      </c>
      <c r="Q43" s="33">
        <v>10.0</v>
      </c>
      <c r="R43" s="33">
        <v>0.0</v>
      </c>
      <c r="S43" s="33">
        <v>0.0</v>
      </c>
      <c r="T43" s="35" t="s">
        <v>37</v>
      </c>
      <c r="U43" s="36" t="s">
        <v>70</v>
      </c>
      <c r="V43" s="37" t="s">
        <v>68</v>
      </c>
      <c r="W43" s="38">
        <v>0.06944444444444445</v>
      </c>
      <c r="X43" s="53"/>
      <c r="Y43" s="40"/>
    </row>
    <row r="44" ht="15.75" customHeight="1">
      <c r="A44" s="19">
        <v>43.0</v>
      </c>
      <c r="B44" s="20" t="s">
        <v>66</v>
      </c>
      <c r="C44" s="21" t="str">
        <f>HYPERLINK("https://azurlane.koumakan.jp/Houston","Houston")</f>
        <v>Houston</v>
      </c>
      <c r="D44" s="22" t="s">
        <v>28</v>
      </c>
      <c r="E44" s="22">
        <v>3525.0</v>
      </c>
      <c r="F44" s="22">
        <v>250.0</v>
      </c>
      <c r="G44" s="22">
        <v>0.0</v>
      </c>
      <c r="H44" s="22">
        <v>0.0</v>
      </c>
      <c r="I44" s="22">
        <v>215.0</v>
      </c>
      <c r="J44" s="22">
        <v>174.0</v>
      </c>
      <c r="K44" s="22">
        <v>55.0</v>
      </c>
      <c r="L44" s="22" t="s">
        <v>29</v>
      </c>
      <c r="M44" s="22">
        <v>26.0</v>
      </c>
      <c r="N44" s="22">
        <v>125.0</v>
      </c>
      <c r="O44" s="22">
        <v>49.0</v>
      </c>
      <c r="P44" s="22">
        <v>0.0</v>
      </c>
      <c r="Q44" s="22">
        <v>11.0</v>
      </c>
      <c r="R44" s="22">
        <v>0.0</v>
      </c>
      <c r="S44" s="22">
        <v>0.0</v>
      </c>
      <c r="T44" s="24" t="s">
        <v>37</v>
      </c>
      <c r="U44" s="25" t="s">
        <v>70</v>
      </c>
      <c r="V44" s="26" t="s">
        <v>68</v>
      </c>
      <c r="W44" s="27">
        <v>0.06944444444444445</v>
      </c>
      <c r="X44" s="54"/>
      <c r="Y44" s="29"/>
    </row>
    <row r="45" ht="15.75" customHeight="1">
      <c r="A45" s="30">
        <v>44.0</v>
      </c>
      <c r="B45" s="31" t="s">
        <v>66</v>
      </c>
      <c r="C45" s="32" t="str">
        <f>HYPERLINK("https://azurlane.koumakan.jp/Portland","Portland")</f>
        <v>Portland</v>
      </c>
      <c r="D45" s="33" t="s">
        <v>36</v>
      </c>
      <c r="E45" s="33">
        <v>4671.0</v>
      </c>
      <c r="F45" s="33">
        <v>207.0</v>
      </c>
      <c r="G45" s="33">
        <v>0.0</v>
      </c>
      <c r="H45" s="33">
        <v>0.0</v>
      </c>
      <c r="I45" s="33">
        <v>251.0</v>
      </c>
      <c r="J45" s="33">
        <v>172.0</v>
      </c>
      <c r="K45" s="33">
        <v>61.0</v>
      </c>
      <c r="L45" s="33" t="s">
        <v>71</v>
      </c>
      <c r="M45" s="33">
        <v>26.0</v>
      </c>
      <c r="N45" s="33">
        <v>129.0</v>
      </c>
      <c r="O45" s="33">
        <v>78.0</v>
      </c>
      <c r="P45" s="33">
        <v>0.0</v>
      </c>
      <c r="Q45" s="33">
        <v>10.0</v>
      </c>
      <c r="R45" s="33">
        <v>0.0</v>
      </c>
      <c r="S45" s="33">
        <v>0.0</v>
      </c>
      <c r="T45" s="35" t="s">
        <v>37</v>
      </c>
      <c r="U45" s="36" t="s">
        <v>72</v>
      </c>
      <c r="V45" s="37" t="s">
        <v>68</v>
      </c>
      <c r="W45" s="38">
        <v>0.0763888888888889</v>
      </c>
      <c r="X45" s="39" t="s">
        <v>73</v>
      </c>
      <c r="Y45" s="40"/>
    </row>
    <row r="46" ht="15.75" customHeight="1">
      <c r="A46" s="19">
        <v>44.1</v>
      </c>
      <c r="B46" s="20" t="s">
        <v>66</v>
      </c>
      <c r="C46" s="21" t="str">
        <f>HYPERLINK("https://azurlane.koumakan.jp/Portland#Retrofit","Portland (R)")</f>
        <v>Portland (R)</v>
      </c>
      <c r="D46" s="22" t="s">
        <v>28</v>
      </c>
      <c r="E46" s="22">
        <v>5461.0</v>
      </c>
      <c r="F46" s="22">
        <v>237.0</v>
      </c>
      <c r="G46" s="22">
        <v>0.0</v>
      </c>
      <c r="H46" s="22">
        <v>0.0</v>
      </c>
      <c r="I46" s="22">
        <v>266.0</v>
      </c>
      <c r="J46" s="22">
        <v>172.0</v>
      </c>
      <c r="K46" s="22">
        <v>81.0</v>
      </c>
      <c r="L46" s="22" t="s">
        <v>71</v>
      </c>
      <c r="M46" s="22">
        <v>26.0</v>
      </c>
      <c r="N46" s="22">
        <v>129.0</v>
      </c>
      <c r="O46" s="23">
        <v>78.0</v>
      </c>
      <c r="P46" s="22">
        <v>0.0</v>
      </c>
      <c r="Q46" s="22">
        <v>10.0</v>
      </c>
      <c r="R46" s="22">
        <v>0.0</v>
      </c>
      <c r="S46" s="22">
        <v>0.0</v>
      </c>
      <c r="T46" s="24" t="s">
        <v>37</v>
      </c>
      <c r="U46" s="59" t="s">
        <v>42</v>
      </c>
      <c r="W46" s="60"/>
      <c r="X46" s="28" t="s">
        <v>74</v>
      </c>
      <c r="Y46" s="29"/>
    </row>
    <row r="47" ht="15.75" customHeight="1">
      <c r="A47" s="30">
        <v>45.0</v>
      </c>
      <c r="B47" s="31" t="s">
        <v>66</v>
      </c>
      <c r="C47" s="32" t="str">
        <f>HYPERLINK("https://azurlane.koumakan.jp/Indianapolis","Indianapolis")</f>
        <v>Indianapolis</v>
      </c>
      <c r="D47" s="33" t="s">
        <v>28</v>
      </c>
      <c r="E47" s="33">
        <v>4843.0</v>
      </c>
      <c r="F47" s="33">
        <v>213.0</v>
      </c>
      <c r="G47" s="33">
        <v>0.0</v>
      </c>
      <c r="H47" s="33">
        <v>0.0</v>
      </c>
      <c r="I47" s="33">
        <v>257.0</v>
      </c>
      <c r="J47" s="33">
        <v>177.0</v>
      </c>
      <c r="K47" s="33">
        <v>61.0</v>
      </c>
      <c r="L47" s="33" t="s">
        <v>71</v>
      </c>
      <c r="M47" s="33">
        <v>26.0</v>
      </c>
      <c r="N47" s="33">
        <v>129.0</v>
      </c>
      <c r="O47" s="33">
        <v>23.0</v>
      </c>
      <c r="P47" s="33">
        <v>0.0</v>
      </c>
      <c r="Q47" s="33">
        <v>11.0</v>
      </c>
      <c r="R47" s="33">
        <v>0.0</v>
      </c>
      <c r="S47" s="33">
        <v>0.0</v>
      </c>
      <c r="T47" s="35" t="s">
        <v>37</v>
      </c>
      <c r="U47" s="36" t="s">
        <v>75</v>
      </c>
      <c r="V47" s="37" t="s">
        <v>68</v>
      </c>
      <c r="W47" s="38">
        <v>0.0763888888888889</v>
      </c>
      <c r="X47" s="39"/>
      <c r="Y47" s="40"/>
    </row>
    <row r="48" ht="15.75" customHeight="1">
      <c r="A48" s="19">
        <v>46.0</v>
      </c>
      <c r="B48" s="20" t="s">
        <v>66</v>
      </c>
      <c r="C48" s="21" t="str">
        <f>HYPERLINK("https://azurlane.koumakan.jp/Astoria","Astoria")</f>
        <v>Astoria</v>
      </c>
      <c r="D48" s="22" t="s">
        <v>28</v>
      </c>
      <c r="E48" s="22">
        <v>3971.0</v>
      </c>
      <c r="F48" s="22">
        <v>221.0</v>
      </c>
      <c r="G48" s="22">
        <v>0.0</v>
      </c>
      <c r="H48" s="22">
        <v>0.0</v>
      </c>
      <c r="I48" s="22">
        <v>231.0</v>
      </c>
      <c r="J48" s="22">
        <v>163.0</v>
      </c>
      <c r="K48" s="22">
        <v>59.0</v>
      </c>
      <c r="L48" s="22" t="s">
        <v>71</v>
      </c>
      <c r="M48" s="22">
        <v>26.0</v>
      </c>
      <c r="N48" s="22">
        <v>125.0</v>
      </c>
      <c r="O48" s="22">
        <v>15.0</v>
      </c>
      <c r="P48" s="22">
        <v>0.0</v>
      </c>
      <c r="Q48" s="22">
        <v>11.0</v>
      </c>
      <c r="R48" s="22">
        <v>0.0</v>
      </c>
      <c r="S48" s="22">
        <v>0.0</v>
      </c>
      <c r="T48" s="24" t="s">
        <v>37</v>
      </c>
      <c r="U48" s="58"/>
      <c r="V48" s="26" t="s">
        <v>76</v>
      </c>
      <c r="W48" s="65"/>
      <c r="X48" s="28" t="s">
        <v>77</v>
      </c>
      <c r="Y48" s="29"/>
    </row>
    <row r="49" ht="15.75" customHeight="1">
      <c r="A49" s="30">
        <v>47.0</v>
      </c>
      <c r="B49" s="31" t="s">
        <v>66</v>
      </c>
      <c r="C49" s="32" t="str">
        <f>HYPERLINK("https://azurlane.koumakan.jp/Quincy","Quincy")</f>
        <v>Quincy</v>
      </c>
      <c r="D49" s="33" t="s">
        <v>28</v>
      </c>
      <c r="E49" s="33">
        <v>4107.0</v>
      </c>
      <c r="F49" s="33">
        <v>221.0</v>
      </c>
      <c r="G49" s="33">
        <v>0.0</v>
      </c>
      <c r="H49" s="33">
        <v>0.0</v>
      </c>
      <c r="I49" s="33">
        <v>235.0</v>
      </c>
      <c r="J49" s="33">
        <v>163.0</v>
      </c>
      <c r="K49" s="33">
        <v>59.0</v>
      </c>
      <c r="L49" s="33" t="s">
        <v>71</v>
      </c>
      <c r="M49" s="33">
        <v>26.0</v>
      </c>
      <c r="N49" s="33">
        <v>129.0</v>
      </c>
      <c r="O49" s="33">
        <v>9.0</v>
      </c>
      <c r="P49" s="33">
        <v>0.0</v>
      </c>
      <c r="Q49" s="33">
        <v>11.0</v>
      </c>
      <c r="R49" s="33">
        <v>0.0</v>
      </c>
      <c r="S49" s="33">
        <v>0.0</v>
      </c>
      <c r="T49" s="35" t="s">
        <v>37</v>
      </c>
      <c r="U49" s="57"/>
      <c r="V49" s="37" t="s">
        <v>76</v>
      </c>
      <c r="W49" s="52"/>
      <c r="X49" s="39" t="s">
        <v>78</v>
      </c>
      <c r="Y49" s="40"/>
    </row>
    <row r="50" ht="15.75" customHeight="1">
      <c r="A50" s="19">
        <v>48.0</v>
      </c>
      <c r="B50" s="20" t="s">
        <v>66</v>
      </c>
      <c r="C50" s="21" t="str">
        <f>HYPERLINK("https://azurlane.koumakan.jp/Vincennes","Vincennes")</f>
        <v>Vincennes</v>
      </c>
      <c r="D50" s="22" t="s">
        <v>28</v>
      </c>
      <c r="E50" s="22">
        <v>4107.0</v>
      </c>
      <c r="F50" s="22">
        <v>221.0</v>
      </c>
      <c r="G50" s="22">
        <v>0.0</v>
      </c>
      <c r="H50" s="22">
        <v>0.0</v>
      </c>
      <c r="I50" s="22">
        <v>235.0</v>
      </c>
      <c r="J50" s="22">
        <v>163.0</v>
      </c>
      <c r="K50" s="22">
        <v>59.0</v>
      </c>
      <c r="L50" s="22" t="s">
        <v>71</v>
      </c>
      <c r="M50" s="22">
        <v>26.0</v>
      </c>
      <c r="N50" s="22">
        <v>125.0</v>
      </c>
      <c r="O50" s="22">
        <v>12.0</v>
      </c>
      <c r="P50" s="22">
        <v>0.0</v>
      </c>
      <c r="Q50" s="22">
        <v>11.0</v>
      </c>
      <c r="R50" s="22">
        <v>0.0</v>
      </c>
      <c r="S50" s="22">
        <v>0.0</v>
      </c>
      <c r="T50" s="24" t="s">
        <v>37</v>
      </c>
      <c r="U50" s="58"/>
      <c r="V50" s="26" t="s">
        <v>76</v>
      </c>
      <c r="W50" s="65"/>
      <c r="X50" s="28" t="s">
        <v>79</v>
      </c>
      <c r="Y50" s="29"/>
    </row>
    <row r="51" ht="15.75" customHeight="1">
      <c r="A51" s="30">
        <v>49.0</v>
      </c>
      <c r="B51" s="31" t="s">
        <v>66</v>
      </c>
      <c r="C51" s="32" t="str">
        <f>HYPERLINK("https://azurlane.koumakan.jp/Wichita","Wichita")</f>
        <v>Wichita</v>
      </c>
      <c r="D51" s="33" t="s">
        <v>28</v>
      </c>
      <c r="E51" s="33">
        <v>3795.0</v>
      </c>
      <c r="F51" s="33">
        <v>271.0</v>
      </c>
      <c r="G51" s="33">
        <v>0.0</v>
      </c>
      <c r="H51" s="33">
        <v>0.0</v>
      </c>
      <c r="I51" s="33">
        <v>227.0</v>
      </c>
      <c r="J51" s="33">
        <v>182.0</v>
      </c>
      <c r="K51" s="33">
        <v>51.0</v>
      </c>
      <c r="L51" s="33" t="s">
        <v>29</v>
      </c>
      <c r="M51" s="33">
        <v>26.0</v>
      </c>
      <c r="N51" s="33">
        <v>135.0</v>
      </c>
      <c r="O51" s="33">
        <v>70.0</v>
      </c>
      <c r="P51" s="33">
        <v>0.0</v>
      </c>
      <c r="Q51" s="33">
        <v>11.0</v>
      </c>
      <c r="R51" s="33">
        <v>0.0</v>
      </c>
      <c r="S51" s="33">
        <v>0.0</v>
      </c>
      <c r="T51" s="35" t="s">
        <v>37</v>
      </c>
      <c r="U51" s="57"/>
      <c r="V51" s="37" t="s">
        <v>68</v>
      </c>
      <c r="W51" s="38">
        <v>0.10416666666666667</v>
      </c>
      <c r="X51" s="39" t="s">
        <v>80</v>
      </c>
      <c r="Y51" s="40"/>
    </row>
    <row r="52" ht="15.75" customHeight="1">
      <c r="A52" s="41">
        <v>50.0</v>
      </c>
      <c r="B52" s="42" t="s">
        <v>66</v>
      </c>
      <c r="C52" s="43" t="str">
        <f>HYPERLINK("https://azurlane.koumakan.jp/Baltimore","Baltimore")</f>
        <v>Baltimore</v>
      </c>
      <c r="D52" s="24" t="s">
        <v>32</v>
      </c>
      <c r="E52" s="24">
        <v>4697.0</v>
      </c>
      <c r="F52" s="24">
        <v>274.0</v>
      </c>
      <c r="G52" s="24">
        <v>0.0</v>
      </c>
      <c r="H52" s="24">
        <v>0.0</v>
      </c>
      <c r="I52" s="24">
        <v>266.0</v>
      </c>
      <c r="J52" s="24">
        <v>186.0</v>
      </c>
      <c r="K52" s="24">
        <v>59.0</v>
      </c>
      <c r="L52" s="24" t="s">
        <v>71</v>
      </c>
      <c r="M52" s="24">
        <v>26.0</v>
      </c>
      <c r="N52" s="24">
        <v>139.0</v>
      </c>
      <c r="O52" s="24">
        <v>56.0</v>
      </c>
      <c r="P52" s="24">
        <v>0.0</v>
      </c>
      <c r="Q52" s="24">
        <v>12.0</v>
      </c>
      <c r="R52" s="24">
        <v>0.0</v>
      </c>
      <c r="S52" s="24">
        <v>0.0</v>
      </c>
      <c r="T52" s="24" t="s">
        <v>37</v>
      </c>
      <c r="U52" s="45"/>
      <c r="V52" s="24" t="s">
        <v>76</v>
      </c>
      <c r="W52" s="66">
        <v>0.08333333333333333</v>
      </c>
      <c r="X52" s="67" t="s">
        <v>81</v>
      </c>
      <c r="Y52" s="48"/>
    </row>
    <row r="53" ht="15.75" customHeight="1">
      <c r="A53" s="30">
        <v>52.0</v>
      </c>
      <c r="B53" s="31" t="s">
        <v>82</v>
      </c>
      <c r="C53" s="32" t="str">
        <f>HYPERLINK("https://azurlane.koumakan.jp/Nevada","Nevada")</f>
        <v>Nevada</v>
      </c>
      <c r="D53" s="33" t="s">
        <v>40</v>
      </c>
      <c r="E53" s="33">
        <v>7140.0</v>
      </c>
      <c r="F53" s="33">
        <v>383.0</v>
      </c>
      <c r="G53" s="33">
        <v>0.0</v>
      </c>
      <c r="H53" s="33">
        <v>0.0</v>
      </c>
      <c r="I53" s="33">
        <v>206.0</v>
      </c>
      <c r="J53" s="33">
        <v>134.0</v>
      </c>
      <c r="K53" s="33">
        <v>26.0</v>
      </c>
      <c r="L53" s="33" t="s">
        <v>83</v>
      </c>
      <c r="M53" s="33">
        <v>20.0</v>
      </c>
      <c r="N53" s="33">
        <v>70.0</v>
      </c>
      <c r="O53" s="33">
        <v>75.0</v>
      </c>
      <c r="P53" s="33">
        <v>0.0</v>
      </c>
      <c r="Q53" s="33">
        <v>12.0</v>
      </c>
      <c r="R53" s="33">
        <v>0.0</v>
      </c>
      <c r="S53" s="33">
        <v>0.0</v>
      </c>
      <c r="T53" s="35" t="s">
        <v>37</v>
      </c>
      <c r="U53" s="36" t="s">
        <v>43</v>
      </c>
      <c r="V53" s="37" t="s">
        <v>83</v>
      </c>
      <c r="W53" s="38">
        <v>0.16666666666666666</v>
      </c>
      <c r="X53" s="53"/>
      <c r="Y53" s="40"/>
    </row>
    <row r="54" ht="15.75" customHeight="1">
      <c r="A54" s="19">
        <v>52.1</v>
      </c>
      <c r="B54" s="20" t="s">
        <v>82</v>
      </c>
      <c r="C54" s="21" t="str">
        <f>HYPERLINK("https://azurlane.koumakan.jp/Nevada#Retrofit","Nevada (R)")</f>
        <v>Nevada (R)</v>
      </c>
      <c r="D54" s="22" t="s">
        <v>36</v>
      </c>
      <c r="E54" s="22">
        <v>7380.0</v>
      </c>
      <c r="F54" s="22">
        <v>393.0</v>
      </c>
      <c r="G54" s="22">
        <v>0.0</v>
      </c>
      <c r="H54" s="22">
        <v>0.0</v>
      </c>
      <c r="I54" s="22">
        <v>246.0</v>
      </c>
      <c r="J54" s="22">
        <v>154.0</v>
      </c>
      <c r="K54" s="22">
        <v>26.0</v>
      </c>
      <c r="L54" s="22" t="s">
        <v>83</v>
      </c>
      <c r="M54" s="22">
        <v>20.0</v>
      </c>
      <c r="N54" s="22">
        <v>85.0</v>
      </c>
      <c r="O54" s="23">
        <v>75.0</v>
      </c>
      <c r="P54" s="22">
        <v>0.0</v>
      </c>
      <c r="Q54" s="22">
        <v>12.0</v>
      </c>
      <c r="R54" s="22">
        <v>0.0</v>
      </c>
      <c r="S54" s="22">
        <v>0.0</v>
      </c>
      <c r="T54" s="24" t="s">
        <v>37</v>
      </c>
      <c r="U54" s="59" t="s">
        <v>42</v>
      </c>
      <c r="W54" s="60"/>
      <c r="X54" s="28"/>
      <c r="Y54" s="29"/>
    </row>
    <row r="55" ht="15.75" customHeight="1">
      <c r="A55" s="30">
        <v>53.0</v>
      </c>
      <c r="B55" s="31" t="s">
        <v>82</v>
      </c>
      <c r="C55" s="32" t="str">
        <f>HYPERLINK("https://azurlane.koumakan.jp/Oklahoma","Oklahoma")</f>
        <v>Oklahoma</v>
      </c>
      <c r="D55" s="33" t="s">
        <v>40</v>
      </c>
      <c r="E55" s="33">
        <v>7121.0</v>
      </c>
      <c r="F55" s="33">
        <v>383.0</v>
      </c>
      <c r="G55" s="33">
        <v>0.0</v>
      </c>
      <c r="H55" s="33">
        <v>0.0</v>
      </c>
      <c r="I55" s="33">
        <v>206.0</v>
      </c>
      <c r="J55" s="33">
        <v>134.0</v>
      </c>
      <c r="K55" s="33">
        <v>26.0</v>
      </c>
      <c r="L55" s="33" t="s">
        <v>83</v>
      </c>
      <c r="M55" s="33">
        <v>20.0</v>
      </c>
      <c r="N55" s="33">
        <v>70.0</v>
      </c>
      <c r="O55" s="33">
        <v>38.0</v>
      </c>
      <c r="P55" s="33">
        <v>0.0</v>
      </c>
      <c r="Q55" s="33">
        <v>12.0</v>
      </c>
      <c r="R55" s="33">
        <v>0.0</v>
      </c>
      <c r="S55" s="33">
        <v>0.0</v>
      </c>
      <c r="T55" s="35" t="s">
        <v>37</v>
      </c>
      <c r="U55" s="36" t="s">
        <v>43</v>
      </c>
      <c r="V55" s="37" t="s">
        <v>83</v>
      </c>
      <c r="W55" s="38">
        <v>0.16666666666666666</v>
      </c>
      <c r="X55" s="53"/>
      <c r="Y55" s="40"/>
    </row>
    <row r="56" ht="15.75" customHeight="1">
      <c r="A56" s="19">
        <v>53.1</v>
      </c>
      <c r="B56" s="20" t="s">
        <v>82</v>
      </c>
      <c r="C56" s="21" t="str">
        <f>HYPERLINK("https://azurlane.koumakan.jp/Oklahoma#Retrofit","Oklahoma (R)")</f>
        <v>Oklahoma (R)</v>
      </c>
      <c r="D56" s="22" t="s">
        <v>36</v>
      </c>
      <c r="E56" s="22">
        <v>7361.0</v>
      </c>
      <c r="F56" s="22">
        <v>393.0</v>
      </c>
      <c r="G56" s="22">
        <v>0.0</v>
      </c>
      <c r="H56" s="22">
        <v>0.0</v>
      </c>
      <c r="I56" s="22">
        <v>251.0</v>
      </c>
      <c r="J56" s="22">
        <v>154.0</v>
      </c>
      <c r="K56" s="22">
        <v>26.0</v>
      </c>
      <c r="L56" s="22" t="s">
        <v>83</v>
      </c>
      <c r="M56" s="22">
        <v>20.0</v>
      </c>
      <c r="N56" s="22">
        <v>80.0</v>
      </c>
      <c r="O56" s="23">
        <v>38.0</v>
      </c>
      <c r="P56" s="22">
        <v>0.0</v>
      </c>
      <c r="Q56" s="22">
        <v>12.0</v>
      </c>
      <c r="R56" s="22">
        <v>0.0</v>
      </c>
      <c r="S56" s="22">
        <v>0.0</v>
      </c>
      <c r="T56" s="24" t="s">
        <v>37</v>
      </c>
      <c r="U56" s="59" t="s">
        <v>42</v>
      </c>
      <c r="W56" s="60"/>
      <c r="X56" s="28"/>
      <c r="Y56" s="29"/>
    </row>
    <row r="57" ht="15.75" customHeight="1">
      <c r="A57" s="30">
        <v>54.0</v>
      </c>
      <c r="B57" s="31" t="s">
        <v>82</v>
      </c>
      <c r="C57" s="32" t="str">
        <f>HYPERLINK("https://azurlane.koumakan.jp/Pennsylvania","Pennsylvania")</f>
        <v>Pennsylvania</v>
      </c>
      <c r="D57" s="33" t="s">
        <v>36</v>
      </c>
      <c r="E57" s="33">
        <v>7366.0</v>
      </c>
      <c r="F57" s="33">
        <v>395.0</v>
      </c>
      <c r="G57" s="33">
        <v>0.0</v>
      </c>
      <c r="H57" s="33">
        <v>0.0</v>
      </c>
      <c r="I57" s="33">
        <v>217.0</v>
      </c>
      <c r="J57" s="33">
        <v>139.0</v>
      </c>
      <c r="K57" s="33">
        <v>28.0</v>
      </c>
      <c r="L57" s="33" t="s">
        <v>83</v>
      </c>
      <c r="M57" s="33">
        <v>21.0</v>
      </c>
      <c r="N57" s="33">
        <v>72.0</v>
      </c>
      <c r="O57" s="33">
        <v>72.0</v>
      </c>
      <c r="P57" s="33">
        <v>0.0</v>
      </c>
      <c r="Q57" s="33">
        <v>13.0</v>
      </c>
      <c r="R57" s="33">
        <v>0.0</v>
      </c>
      <c r="S57" s="33">
        <v>0.0</v>
      </c>
      <c r="T57" s="35" t="s">
        <v>37</v>
      </c>
      <c r="U57" s="36" t="s">
        <v>43</v>
      </c>
      <c r="V57" s="37" t="s">
        <v>83</v>
      </c>
      <c r="W57" s="38">
        <v>0.1736111111111111</v>
      </c>
      <c r="X57" s="53"/>
      <c r="Y57" s="40"/>
    </row>
    <row r="58" ht="15.75" customHeight="1">
      <c r="A58" s="19">
        <v>55.0</v>
      </c>
      <c r="B58" s="20" t="s">
        <v>82</v>
      </c>
      <c r="C58" s="21" t="str">
        <f>HYPERLINK("https://azurlane.koumakan.jp/Arizona","Arizona")</f>
        <v>Arizona</v>
      </c>
      <c r="D58" s="22" t="s">
        <v>28</v>
      </c>
      <c r="E58" s="22">
        <v>7307.0</v>
      </c>
      <c r="F58" s="22">
        <v>405.0</v>
      </c>
      <c r="G58" s="22">
        <v>0.0</v>
      </c>
      <c r="H58" s="22">
        <v>0.0</v>
      </c>
      <c r="I58" s="22">
        <v>223.0</v>
      </c>
      <c r="J58" s="22">
        <v>141.0</v>
      </c>
      <c r="K58" s="22">
        <v>28.0</v>
      </c>
      <c r="L58" s="22" t="s">
        <v>83</v>
      </c>
      <c r="M58" s="22">
        <v>21.0</v>
      </c>
      <c r="N58" s="22">
        <v>72.0</v>
      </c>
      <c r="O58" s="22">
        <v>17.0</v>
      </c>
      <c r="P58" s="22">
        <v>0.0</v>
      </c>
      <c r="Q58" s="22">
        <v>14.0</v>
      </c>
      <c r="R58" s="22">
        <v>0.0</v>
      </c>
      <c r="S58" s="22">
        <v>0.0</v>
      </c>
      <c r="T58" s="24" t="s">
        <v>37</v>
      </c>
      <c r="U58" s="25" t="s">
        <v>43</v>
      </c>
      <c r="V58" s="26" t="s">
        <v>83</v>
      </c>
      <c r="W58" s="27">
        <v>0.1736111111111111</v>
      </c>
      <c r="X58" s="54"/>
      <c r="Y58" s="29"/>
    </row>
    <row r="59" ht="15.75" customHeight="1">
      <c r="A59" s="30">
        <v>58.0</v>
      </c>
      <c r="B59" s="31" t="s">
        <v>82</v>
      </c>
      <c r="C59" s="32" t="str">
        <f>HYPERLINK("https://azurlane.koumakan.jp/Tennessee","Tennessee")</f>
        <v>Tennessee</v>
      </c>
      <c r="D59" s="33" t="s">
        <v>36</v>
      </c>
      <c r="E59" s="33">
        <v>7561.0</v>
      </c>
      <c r="F59" s="33">
        <v>396.0</v>
      </c>
      <c r="G59" s="33">
        <v>0.0</v>
      </c>
      <c r="H59" s="33">
        <v>0.0</v>
      </c>
      <c r="I59" s="33">
        <v>215.0</v>
      </c>
      <c r="J59" s="33">
        <v>141.0</v>
      </c>
      <c r="K59" s="33">
        <v>29.0</v>
      </c>
      <c r="L59" s="33" t="s">
        <v>83</v>
      </c>
      <c r="M59" s="33">
        <v>21.0</v>
      </c>
      <c r="N59" s="33">
        <v>71.0</v>
      </c>
      <c r="O59" s="33">
        <v>51.0</v>
      </c>
      <c r="P59" s="33">
        <v>0.0</v>
      </c>
      <c r="Q59" s="33">
        <v>13.0</v>
      </c>
      <c r="R59" s="33">
        <v>0.0</v>
      </c>
      <c r="S59" s="33">
        <v>0.0</v>
      </c>
      <c r="T59" s="35" t="s">
        <v>37</v>
      </c>
      <c r="U59" s="36" t="s">
        <v>67</v>
      </c>
      <c r="V59" s="37" t="s">
        <v>83</v>
      </c>
      <c r="W59" s="38">
        <v>0.18055555555555555</v>
      </c>
      <c r="X59" s="53"/>
      <c r="Y59" s="40"/>
    </row>
    <row r="60" ht="15.75" customHeight="1">
      <c r="A60" s="19">
        <v>59.0</v>
      </c>
      <c r="B60" s="20" t="s">
        <v>82</v>
      </c>
      <c r="C60" s="21" t="str">
        <f>HYPERLINK("https://azurlane.koumakan.jp/California","California")</f>
        <v>California</v>
      </c>
      <c r="D60" s="22" t="s">
        <v>36</v>
      </c>
      <c r="E60" s="22">
        <v>7561.0</v>
      </c>
      <c r="F60" s="22">
        <v>396.0</v>
      </c>
      <c r="G60" s="22">
        <v>0.0</v>
      </c>
      <c r="H60" s="22">
        <v>0.0</v>
      </c>
      <c r="I60" s="22">
        <v>215.0</v>
      </c>
      <c r="J60" s="22">
        <v>141.0</v>
      </c>
      <c r="K60" s="22">
        <v>29.0</v>
      </c>
      <c r="L60" s="22" t="s">
        <v>83</v>
      </c>
      <c r="M60" s="22">
        <v>21.0</v>
      </c>
      <c r="N60" s="22">
        <v>71.0</v>
      </c>
      <c r="O60" s="22">
        <v>36.0</v>
      </c>
      <c r="P60" s="22">
        <v>0.0</v>
      </c>
      <c r="Q60" s="22">
        <v>13.0</v>
      </c>
      <c r="R60" s="22">
        <v>0.0</v>
      </c>
      <c r="S60" s="22">
        <v>0.0</v>
      </c>
      <c r="T60" s="24" t="s">
        <v>37</v>
      </c>
      <c r="U60" s="25" t="s">
        <v>67</v>
      </c>
      <c r="V60" s="26" t="s">
        <v>83</v>
      </c>
      <c r="W60" s="27">
        <v>0.18055555555555555</v>
      </c>
      <c r="X60" s="54"/>
      <c r="Y60" s="29"/>
    </row>
    <row r="61" ht="15.75" customHeight="1">
      <c r="A61" s="30">
        <v>60.0</v>
      </c>
      <c r="B61" s="31" t="s">
        <v>82</v>
      </c>
      <c r="C61" s="32" t="str">
        <f>HYPERLINK("https://azurlane.koumakan.jp/Colorado","Colorado")</f>
        <v>Colorado</v>
      </c>
      <c r="D61" s="33" t="s">
        <v>28</v>
      </c>
      <c r="E61" s="33">
        <v>7633.0</v>
      </c>
      <c r="F61" s="33">
        <v>415.0</v>
      </c>
      <c r="G61" s="33">
        <v>0.0</v>
      </c>
      <c r="H61" s="33">
        <v>0.0</v>
      </c>
      <c r="I61" s="33">
        <v>221.0</v>
      </c>
      <c r="J61" s="33">
        <v>151.0</v>
      </c>
      <c r="K61" s="33">
        <v>31.0</v>
      </c>
      <c r="L61" s="33" t="s">
        <v>83</v>
      </c>
      <c r="M61" s="33">
        <v>21.0</v>
      </c>
      <c r="N61" s="33">
        <v>71.0</v>
      </c>
      <c r="O61" s="33">
        <v>67.0</v>
      </c>
      <c r="P61" s="33">
        <v>0.0</v>
      </c>
      <c r="Q61" s="33">
        <v>14.0</v>
      </c>
      <c r="R61" s="33">
        <v>0.0</v>
      </c>
      <c r="S61" s="33">
        <v>0.0</v>
      </c>
      <c r="T61" s="35" t="s">
        <v>37</v>
      </c>
      <c r="U61" s="57"/>
      <c r="V61" s="37" t="s">
        <v>83</v>
      </c>
      <c r="W61" s="38">
        <v>0.1840277777777778</v>
      </c>
      <c r="X61" s="39" t="s">
        <v>84</v>
      </c>
      <c r="Y61" s="40"/>
    </row>
    <row r="62" ht="15.75" customHeight="1">
      <c r="A62" s="19">
        <v>61.0</v>
      </c>
      <c r="B62" s="20" t="s">
        <v>82</v>
      </c>
      <c r="C62" s="21" t="str">
        <f>HYPERLINK("https://azurlane.koumakan.jp/Maryland","Maryland")</f>
        <v>Maryland</v>
      </c>
      <c r="D62" s="22" t="s">
        <v>28</v>
      </c>
      <c r="E62" s="22">
        <v>7692.0</v>
      </c>
      <c r="F62" s="22">
        <v>410.0</v>
      </c>
      <c r="G62" s="22">
        <v>0.0</v>
      </c>
      <c r="H62" s="22">
        <v>0.0</v>
      </c>
      <c r="I62" s="22">
        <v>221.0</v>
      </c>
      <c r="J62" s="22">
        <v>148.0</v>
      </c>
      <c r="K62" s="22">
        <v>31.0</v>
      </c>
      <c r="L62" s="22" t="s">
        <v>83</v>
      </c>
      <c r="M62" s="22">
        <v>21.0</v>
      </c>
      <c r="N62" s="22">
        <v>66.0</v>
      </c>
      <c r="O62" s="22">
        <v>70.0</v>
      </c>
      <c r="P62" s="22">
        <v>0.0</v>
      </c>
      <c r="Q62" s="22">
        <v>14.0</v>
      </c>
      <c r="R62" s="22">
        <v>0.0</v>
      </c>
      <c r="S62" s="22">
        <v>0.0</v>
      </c>
      <c r="T62" s="24" t="s">
        <v>37</v>
      </c>
      <c r="U62" s="58"/>
      <c r="V62" s="26" t="s">
        <v>83</v>
      </c>
      <c r="W62" s="27">
        <v>0.1840277777777778</v>
      </c>
      <c r="X62" s="28" t="s">
        <v>84</v>
      </c>
      <c r="Y62" s="29"/>
    </row>
    <row r="63" ht="15.75" customHeight="1">
      <c r="A63" s="30">
        <v>62.0</v>
      </c>
      <c r="B63" s="31" t="s">
        <v>82</v>
      </c>
      <c r="C63" s="32" t="str">
        <f>HYPERLINK("https://azurlane.koumakan.jp/West_Virginia","West Virginia")</f>
        <v>West Virginia</v>
      </c>
      <c r="D63" s="33" t="s">
        <v>28</v>
      </c>
      <c r="E63" s="33">
        <v>7633.0</v>
      </c>
      <c r="F63" s="33">
        <v>415.0</v>
      </c>
      <c r="G63" s="33">
        <v>0.0</v>
      </c>
      <c r="H63" s="33">
        <v>0.0</v>
      </c>
      <c r="I63" s="33">
        <v>221.0</v>
      </c>
      <c r="J63" s="33">
        <v>151.0</v>
      </c>
      <c r="K63" s="33">
        <v>31.0</v>
      </c>
      <c r="L63" s="33" t="s">
        <v>83</v>
      </c>
      <c r="M63" s="33">
        <v>21.0</v>
      </c>
      <c r="N63" s="33">
        <v>72.0</v>
      </c>
      <c r="O63" s="33">
        <v>61.0</v>
      </c>
      <c r="P63" s="33">
        <v>0.0</v>
      </c>
      <c r="Q63" s="33">
        <v>14.0</v>
      </c>
      <c r="R63" s="33">
        <v>0.0</v>
      </c>
      <c r="S63" s="33">
        <v>0.0</v>
      </c>
      <c r="T63" s="35" t="s">
        <v>37</v>
      </c>
      <c r="U63" s="57"/>
      <c r="V63" s="37" t="s">
        <v>85</v>
      </c>
      <c r="W63" s="52"/>
      <c r="X63" s="39" t="s">
        <v>86</v>
      </c>
      <c r="Y63" s="40"/>
    </row>
    <row r="64" ht="15.75" customHeight="1">
      <c r="A64" s="19">
        <v>63.0</v>
      </c>
      <c r="B64" s="20" t="s">
        <v>82</v>
      </c>
      <c r="C64" s="21" t="str">
        <f>HYPERLINK("https://azurlane.koumakan.jp/North_Carolina","North Carolina")</f>
        <v>North Carolina</v>
      </c>
      <c r="D64" s="22" t="s">
        <v>32</v>
      </c>
      <c r="E64" s="22">
        <v>8038.0</v>
      </c>
      <c r="F64" s="22">
        <v>426.0</v>
      </c>
      <c r="G64" s="22">
        <v>0.0</v>
      </c>
      <c r="H64" s="22">
        <v>0.0</v>
      </c>
      <c r="I64" s="22">
        <v>409.0</v>
      </c>
      <c r="J64" s="22">
        <v>161.0</v>
      </c>
      <c r="K64" s="22">
        <v>34.0</v>
      </c>
      <c r="L64" s="22" t="s">
        <v>83</v>
      </c>
      <c r="M64" s="22">
        <v>28.0</v>
      </c>
      <c r="N64" s="22">
        <v>72.0</v>
      </c>
      <c r="O64" s="22">
        <v>81.0</v>
      </c>
      <c r="P64" s="22">
        <v>0.0</v>
      </c>
      <c r="Q64" s="22">
        <v>15.0</v>
      </c>
      <c r="R64" s="22">
        <v>0.0</v>
      </c>
      <c r="S64" s="22">
        <v>0.0</v>
      </c>
      <c r="T64" s="24" t="s">
        <v>37</v>
      </c>
      <c r="U64" s="58"/>
      <c r="V64" s="26" t="s">
        <v>83</v>
      </c>
      <c r="W64" s="27">
        <v>0.2013888888888889</v>
      </c>
      <c r="X64" s="28" t="s">
        <v>87</v>
      </c>
      <c r="Y64" s="29"/>
    </row>
    <row r="65" ht="15.75" customHeight="1">
      <c r="A65" s="30">
        <v>64.0</v>
      </c>
      <c r="B65" s="31" t="s">
        <v>82</v>
      </c>
      <c r="C65" s="32" t="str">
        <f>HYPERLINK("https://azurlane.koumakan.jp/Washington","Washington")</f>
        <v>Washington</v>
      </c>
      <c r="D65" s="33" t="s">
        <v>32</v>
      </c>
      <c r="E65" s="33">
        <v>8271.0</v>
      </c>
      <c r="F65" s="33">
        <v>426.0</v>
      </c>
      <c r="G65" s="33">
        <v>0.0</v>
      </c>
      <c r="H65" s="33">
        <v>0.0</v>
      </c>
      <c r="I65" s="33">
        <v>409.0</v>
      </c>
      <c r="J65" s="33">
        <v>161.0</v>
      </c>
      <c r="K65" s="33">
        <v>34.0</v>
      </c>
      <c r="L65" s="33" t="s">
        <v>83</v>
      </c>
      <c r="M65" s="33">
        <v>28.0</v>
      </c>
      <c r="N65" s="33">
        <v>72.0</v>
      </c>
      <c r="O65" s="33">
        <v>89.0</v>
      </c>
      <c r="P65" s="33">
        <v>0.0</v>
      </c>
      <c r="Q65" s="33">
        <v>15.0</v>
      </c>
      <c r="R65" s="33">
        <v>0.0</v>
      </c>
      <c r="S65" s="33">
        <v>0.0</v>
      </c>
      <c r="T65" s="35" t="s">
        <v>37</v>
      </c>
      <c r="U65" s="57"/>
      <c r="V65" s="37" t="s">
        <v>83</v>
      </c>
      <c r="W65" s="38">
        <v>0.2013888888888889</v>
      </c>
      <c r="X65" s="39" t="s">
        <v>84</v>
      </c>
      <c r="Y65" s="40"/>
    </row>
    <row r="66" ht="15.75" customHeight="1">
      <c r="A66" s="19">
        <v>65.0</v>
      </c>
      <c r="B66" s="20" t="s">
        <v>82</v>
      </c>
      <c r="C66" s="21" t="str">
        <f>HYPERLINK("https://azurlane.koumakan.jp/South_Dakota","South Dakota")</f>
        <v>South Dakota</v>
      </c>
      <c r="D66" s="22" t="s">
        <v>32</v>
      </c>
      <c r="E66" s="22">
        <v>8221.0</v>
      </c>
      <c r="F66" s="22">
        <v>419.0</v>
      </c>
      <c r="G66" s="22">
        <v>0.0</v>
      </c>
      <c r="H66" s="22">
        <v>0.0</v>
      </c>
      <c r="I66" s="22">
        <v>409.0</v>
      </c>
      <c r="J66" s="22">
        <v>161.0</v>
      </c>
      <c r="K66" s="22">
        <v>34.0</v>
      </c>
      <c r="L66" s="22" t="s">
        <v>83</v>
      </c>
      <c r="M66" s="22">
        <v>27.0</v>
      </c>
      <c r="N66" s="22">
        <v>74.0</v>
      </c>
      <c r="O66" s="22">
        <v>76.0</v>
      </c>
      <c r="P66" s="22">
        <v>0.0</v>
      </c>
      <c r="Q66" s="22">
        <v>15.0</v>
      </c>
      <c r="R66" s="22">
        <v>0.0</v>
      </c>
      <c r="S66" s="22">
        <v>0.0</v>
      </c>
      <c r="T66" s="24" t="s">
        <v>37</v>
      </c>
      <c r="U66" s="58"/>
      <c r="V66" s="26" t="s">
        <v>51</v>
      </c>
      <c r="W66" s="65"/>
      <c r="X66" s="28" t="s">
        <v>88</v>
      </c>
      <c r="Y66" s="29"/>
    </row>
    <row r="67" ht="15.75" customHeight="1">
      <c r="A67" s="68">
        <v>68.0</v>
      </c>
      <c r="B67" s="69" t="s">
        <v>82</v>
      </c>
      <c r="C67" s="70" t="s">
        <v>89</v>
      </c>
      <c r="D67" s="35" t="s">
        <v>34</v>
      </c>
      <c r="E67" s="35">
        <v>9745.0</v>
      </c>
      <c r="F67" s="35">
        <v>453.0</v>
      </c>
      <c r="G67" s="35">
        <v>0.0</v>
      </c>
      <c r="H67" s="35">
        <v>0.0</v>
      </c>
      <c r="I67" s="35">
        <v>438.0</v>
      </c>
      <c r="J67" s="35">
        <v>172.0</v>
      </c>
      <c r="K67" s="35">
        <v>40.0</v>
      </c>
      <c r="L67" s="35" t="s">
        <v>83</v>
      </c>
      <c r="M67" s="35">
        <v>33.0</v>
      </c>
      <c r="N67" s="35">
        <v>76.0</v>
      </c>
      <c r="O67" s="35">
        <v>72.0</v>
      </c>
      <c r="P67" s="35">
        <v>0.0</v>
      </c>
      <c r="Q67" s="35">
        <v>17.0</v>
      </c>
      <c r="R67" s="35">
        <v>0.0</v>
      </c>
      <c r="S67" s="35">
        <v>0.0</v>
      </c>
      <c r="T67" s="35" t="s">
        <v>37</v>
      </c>
      <c r="U67" s="71"/>
      <c r="V67" s="35" t="s">
        <v>76</v>
      </c>
      <c r="W67" s="72">
        <v>0.2708333333333333</v>
      </c>
      <c r="X67" s="73" t="s">
        <v>90</v>
      </c>
      <c r="Y67" s="74"/>
    </row>
    <row r="68" ht="15.75" customHeight="1">
      <c r="A68" s="19">
        <v>70.0</v>
      </c>
      <c r="B68" s="20" t="s">
        <v>91</v>
      </c>
      <c r="C68" s="21" t="str">
        <f>HYPERLINK("https://azurlane.koumakan.jp/Long_Island","Long Island")</f>
        <v>Long Island</v>
      </c>
      <c r="D68" s="22" t="s">
        <v>36</v>
      </c>
      <c r="E68" s="22">
        <v>4802.0</v>
      </c>
      <c r="F68" s="22">
        <v>0.0</v>
      </c>
      <c r="G68" s="22">
        <v>0.0</v>
      </c>
      <c r="H68" s="22">
        <v>284.0</v>
      </c>
      <c r="I68" s="22">
        <v>263.0</v>
      </c>
      <c r="J68" s="22">
        <v>185.0</v>
      </c>
      <c r="K68" s="22">
        <v>68.0</v>
      </c>
      <c r="L68" s="22" t="s">
        <v>71</v>
      </c>
      <c r="M68" s="22">
        <v>16.0</v>
      </c>
      <c r="N68" s="22">
        <v>88.0</v>
      </c>
      <c r="O68" s="22">
        <v>68.0</v>
      </c>
      <c r="P68" s="22">
        <v>102.0</v>
      </c>
      <c r="Q68" s="22">
        <v>10.0</v>
      </c>
      <c r="R68" s="22">
        <v>0.0</v>
      </c>
      <c r="S68" s="22">
        <v>0.0</v>
      </c>
      <c r="T68" s="24" t="s">
        <v>37</v>
      </c>
      <c r="U68" s="25" t="s">
        <v>53</v>
      </c>
      <c r="V68" s="75" t="s">
        <v>92</v>
      </c>
      <c r="W68" s="76">
        <v>0.09375</v>
      </c>
      <c r="X68" s="54"/>
      <c r="Y68" s="29"/>
    </row>
    <row r="69" ht="15.75" customHeight="1">
      <c r="A69" s="30">
        <v>70.1</v>
      </c>
      <c r="B69" s="31" t="s">
        <v>91</v>
      </c>
      <c r="C69" s="32" t="str">
        <f>HYPERLINK("https://azurlane.koumakan.jp/Long_Island#Remodel(JP)","Long Island (R)")</f>
        <v>Long Island (R)</v>
      </c>
      <c r="D69" s="33" t="s">
        <v>28</v>
      </c>
      <c r="E69" s="33">
        <v>5012.0</v>
      </c>
      <c r="F69" s="33">
        <v>0.0</v>
      </c>
      <c r="G69" s="33">
        <v>0.0</v>
      </c>
      <c r="H69" s="33">
        <v>344.0</v>
      </c>
      <c r="I69" s="33">
        <v>298.0</v>
      </c>
      <c r="J69" s="33">
        <v>190.0</v>
      </c>
      <c r="K69" s="33">
        <v>68.0</v>
      </c>
      <c r="L69" s="33" t="s">
        <v>71</v>
      </c>
      <c r="M69" s="33">
        <v>16.0</v>
      </c>
      <c r="N69" s="33">
        <v>88.0</v>
      </c>
      <c r="O69" s="34">
        <v>68.0</v>
      </c>
      <c r="P69" s="33">
        <v>102.0</v>
      </c>
      <c r="Q69" s="33">
        <v>10.0</v>
      </c>
      <c r="R69" s="33">
        <v>0.0</v>
      </c>
      <c r="S69" s="33">
        <v>0.0</v>
      </c>
      <c r="T69" s="35" t="s">
        <v>37</v>
      </c>
      <c r="U69" s="55" t="s">
        <v>42</v>
      </c>
      <c r="W69" s="56"/>
      <c r="X69" s="53"/>
      <c r="Y69" s="40"/>
    </row>
    <row r="70" ht="15.75" customHeight="1">
      <c r="A70" s="19">
        <v>71.0</v>
      </c>
      <c r="B70" s="20" t="s">
        <v>91</v>
      </c>
      <c r="C70" s="21" t="str">
        <f>HYPERLINK("https://azurlane.koumakan.jp/Bogue","Bogue")</f>
        <v>Bogue</v>
      </c>
      <c r="D70" s="22" t="s">
        <v>40</v>
      </c>
      <c r="E70" s="22">
        <v>4048.0</v>
      </c>
      <c r="F70" s="22">
        <v>0.0</v>
      </c>
      <c r="G70" s="22">
        <v>0.0</v>
      </c>
      <c r="H70" s="22">
        <v>282.0</v>
      </c>
      <c r="I70" s="22">
        <v>257.0</v>
      </c>
      <c r="J70" s="22">
        <v>181.0</v>
      </c>
      <c r="K70" s="22">
        <v>69.0</v>
      </c>
      <c r="L70" s="22" t="s">
        <v>71</v>
      </c>
      <c r="M70" s="22">
        <v>18.0</v>
      </c>
      <c r="N70" s="22">
        <v>88.0</v>
      </c>
      <c r="O70" s="22">
        <v>78.0</v>
      </c>
      <c r="P70" s="22">
        <v>150.0</v>
      </c>
      <c r="Q70" s="22">
        <v>9.0</v>
      </c>
      <c r="R70" s="22">
        <v>0.0</v>
      </c>
      <c r="S70" s="22">
        <v>0.0</v>
      </c>
      <c r="T70" s="24" t="s">
        <v>37</v>
      </c>
      <c r="U70" s="25" t="s">
        <v>67</v>
      </c>
      <c r="V70" s="75" t="s">
        <v>92</v>
      </c>
      <c r="W70" s="76">
        <v>0.09722222222222222</v>
      </c>
      <c r="X70" s="54"/>
      <c r="Y70" s="29"/>
    </row>
    <row r="71" ht="15.75" customHeight="1">
      <c r="A71" s="30">
        <v>71.1</v>
      </c>
      <c r="B71" s="31" t="s">
        <v>91</v>
      </c>
      <c r="C71" s="32" t="str">
        <f>HYPERLINK("https://azurlane.koumakan.jp/Bogue#Retrofit","Bogue (R)")</f>
        <v>Bogue (R)</v>
      </c>
      <c r="D71" s="33" t="s">
        <v>36</v>
      </c>
      <c r="E71" s="33">
        <v>4258.0</v>
      </c>
      <c r="F71" s="33">
        <v>0.0</v>
      </c>
      <c r="G71" s="33">
        <v>0.0</v>
      </c>
      <c r="H71" s="33">
        <v>342.0</v>
      </c>
      <c r="I71" s="33">
        <v>292.0</v>
      </c>
      <c r="J71" s="33">
        <v>186.0</v>
      </c>
      <c r="K71" s="33">
        <v>69.0</v>
      </c>
      <c r="L71" s="33" t="s">
        <v>71</v>
      </c>
      <c r="M71" s="33">
        <v>18.0</v>
      </c>
      <c r="N71" s="33">
        <v>88.0</v>
      </c>
      <c r="O71" s="34">
        <v>78.0</v>
      </c>
      <c r="P71" s="33">
        <v>150.0</v>
      </c>
      <c r="Q71" s="33">
        <v>9.0</v>
      </c>
      <c r="R71" s="33">
        <v>0.0</v>
      </c>
      <c r="S71" s="33">
        <v>0.0</v>
      </c>
      <c r="T71" s="35" t="s">
        <v>37</v>
      </c>
      <c r="U71" s="55" t="s">
        <v>42</v>
      </c>
      <c r="W71" s="56"/>
      <c r="X71" s="53"/>
      <c r="Y71" s="40"/>
    </row>
    <row r="72" ht="15.75" customHeight="1">
      <c r="A72" s="19">
        <v>72.0</v>
      </c>
      <c r="B72" s="20" t="s">
        <v>91</v>
      </c>
      <c r="C72" s="21" t="str">
        <f>HYPERLINK("https://azurlane.koumakan.jp/Langley","Langley")</f>
        <v>Langley</v>
      </c>
      <c r="D72" s="22" t="s">
        <v>40</v>
      </c>
      <c r="E72" s="22">
        <v>4566.0</v>
      </c>
      <c r="F72" s="22">
        <v>0.0</v>
      </c>
      <c r="G72" s="22">
        <v>0.0</v>
      </c>
      <c r="H72" s="22">
        <v>207.0</v>
      </c>
      <c r="I72" s="22">
        <v>251.0</v>
      </c>
      <c r="J72" s="22">
        <v>125.0</v>
      </c>
      <c r="K72" s="22">
        <v>83.0</v>
      </c>
      <c r="L72" s="22" t="s">
        <v>71</v>
      </c>
      <c r="M72" s="22">
        <v>15.0</v>
      </c>
      <c r="N72" s="22">
        <v>83.0</v>
      </c>
      <c r="O72" s="22">
        <v>32.0</v>
      </c>
      <c r="P72" s="22">
        <v>97.0</v>
      </c>
      <c r="Q72" s="22">
        <v>9.0</v>
      </c>
      <c r="R72" s="22">
        <v>0.0</v>
      </c>
      <c r="S72" s="22">
        <v>0.0</v>
      </c>
      <c r="T72" s="24" t="s">
        <v>37</v>
      </c>
      <c r="U72" s="25" t="s">
        <v>70</v>
      </c>
      <c r="V72" s="26" t="s">
        <v>92</v>
      </c>
      <c r="W72" s="76">
        <v>0.08333333333333333</v>
      </c>
      <c r="X72" s="28" t="s">
        <v>93</v>
      </c>
      <c r="Y72" s="29"/>
    </row>
    <row r="73" ht="15.75" customHeight="1">
      <c r="A73" s="30">
        <v>72.1</v>
      </c>
      <c r="B73" s="31" t="s">
        <v>91</v>
      </c>
      <c r="C73" s="32" t="str">
        <f>HYPERLINK("https://azurlane.koumakan.jp/Langley#Retrofit","Langley (R)")</f>
        <v>Langley (R)</v>
      </c>
      <c r="D73" s="33" t="s">
        <v>36</v>
      </c>
      <c r="E73" s="33">
        <v>4806.0</v>
      </c>
      <c r="F73" s="33">
        <v>0.0</v>
      </c>
      <c r="G73" s="33">
        <v>0.0</v>
      </c>
      <c r="H73" s="33">
        <v>267.0</v>
      </c>
      <c r="I73" s="33">
        <v>286.0</v>
      </c>
      <c r="J73" s="33">
        <v>130.0</v>
      </c>
      <c r="K73" s="33">
        <v>83.0</v>
      </c>
      <c r="L73" s="33" t="s">
        <v>71</v>
      </c>
      <c r="M73" s="33">
        <v>15.0</v>
      </c>
      <c r="N73" s="33">
        <v>83.0</v>
      </c>
      <c r="O73" s="34">
        <v>32.0</v>
      </c>
      <c r="P73" s="33">
        <v>97.0</v>
      </c>
      <c r="Q73" s="33">
        <v>9.0</v>
      </c>
      <c r="R73" s="33">
        <v>0.0</v>
      </c>
      <c r="S73" s="33">
        <v>0.0</v>
      </c>
      <c r="T73" s="35" t="s">
        <v>37</v>
      </c>
      <c r="U73" s="55" t="s">
        <v>42</v>
      </c>
      <c r="W73" s="56"/>
      <c r="X73" s="39" t="s">
        <v>94</v>
      </c>
      <c r="Y73" s="40"/>
    </row>
    <row r="74" ht="15.75" customHeight="1">
      <c r="A74" s="19">
        <v>73.0</v>
      </c>
      <c r="B74" s="20" t="s">
        <v>95</v>
      </c>
      <c r="C74" s="21" t="str">
        <f>HYPERLINK("https://azurlane.koumakan.jp/Lexington","Lexington")</f>
        <v>Lexington</v>
      </c>
      <c r="D74" s="22" t="s">
        <v>28</v>
      </c>
      <c r="E74" s="22">
        <v>7072.0</v>
      </c>
      <c r="F74" s="22">
        <v>0.0</v>
      </c>
      <c r="G74" s="22">
        <v>0.0</v>
      </c>
      <c r="H74" s="22">
        <v>402.0</v>
      </c>
      <c r="I74" s="22">
        <v>310.0</v>
      </c>
      <c r="J74" s="22">
        <v>112.0</v>
      </c>
      <c r="K74" s="22">
        <v>58.0</v>
      </c>
      <c r="L74" s="22" t="s">
        <v>71</v>
      </c>
      <c r="M74" s="22">
        <v>33.0</v>
      </c>
      <c r="N74" s="22">
        <v>95.0</v>
      </c>
      <c r="O74" s="22">
        <v>35.0</v>
      </c>
      <c r="P74" s="22">
        <v>0.0</v>
      </c>
      <c r="Q74" s="22">
        <v>12.0</v>
      </c>
      <c r="R74" s="22">
        <v>0.0</v>
      </c>
      <c r="S74" s="22">
        <v>0.0</v>
      </c>
      <c r="T74" s="24" t="s">
        <v>37</v>
      </c>
      <c r="U74" s="25" t="s">
        <v>96</v>
      </c>
      <c r="V74" s="26" t="s">
        <v>92</v>
      </c>
      <c r="W74" s="27">
        <v>0.1527777777777778</v>
      </c>
      <c r="X74" s="54"/>
      <c r="Y74" s="29"/>
    </row>
    <row r="75" ht="15.75" customHeight="1">
      <c r="A75" s="30">
        <v>74.0</v>
      </c>
      <c r="B75" s="31" t="s">
        <v>95</v>
      </c>
      <c r="C75" s="32" t="str">
        <f>HYPERLINK("https://azurlane.koumakan.jp/Saratoga","Saratoga")</f>
        <v>Saratoga</v>
      </c>
      <c r="D75" s="33" t="s">
        <v>28</v>
      </c>
      <c r="E75" s="33">
        <v>7072.0</v>
      </c>
      <c r="F75" s="33">
        <v>0.0</v>
      </c>
      <c r="G75" s="33">
        <v>0.0</v>
      </c>
      <c r="H75" s="33">
        <v>402.0</v>
      </c>
      <c r="I75" s="33">
        <v>310.0</v>
      </c>
      <c r="J75" s="33">
        <v>112.0</v>
      </c>
      <c r="K75" s="33">
        <v>58.0</v>
      </c>
      <c r="L75" s="33" t="s">
        <v>71</v>
      </c>
      <c r="M75" s="33">
        <v>33.0</v>
      </c>
      <c r="N75" s="33">
        <v>95.0</v>
      </c>
      <c r="O75" s="33">
        <v>66.0</v>
      </c>
      <c r="P75" s="33">
        <v>0.0</v>
      </c>
      <c r="Q75" s="33">
        <v>12.0</v>
      </c>
      <c r="R75" s="33">
        <v>0.0</v>
      </c>
      <c r="S75" s="33">
        <v>0.0</v>
      </c>
      <c r="T75" s="35" t="s">
        <v>37</v>
      </c>
      <c r="U75" s="36" t="s">
        <v>55</v>
      </c>
      <c r="V75" s="37" t="s">
        <v>92</v>
      </c>
      <c r="W75" s="62">
        <v>0.1527777777777778</v>
      </c>
      <c r="X75" s="53"/>
      <c r="Y75" s="40"/>
    </row>
    <row r="76" ht="15.75" customHeight="1">
      <c r="A76" s="19">
        <v>74.1</v>
      </c>
      <c r="B76" s="20" t="s">
        <v>95</v>
      </c>
      <c r="C76" s="21" t="str">
        <f>HYPERLINK("https://azurlane.koumakan.jp/Saratoga#Retrofit","Saratoga (R)")</f>
        <v>Saratoga (R)</v>
      </c>
      <c r="D76" s="22" t="s">
        <v>32</v>
      </c>
      <c r="E76" s="22">
        <v>7282.0</v>
      </c>
      <c r="F76" s="22">
        <v>0.0</v>
      </c>
      <c r="G76" s="22">
        <v>0.0</v>
      </c>
      <c r="H76" s="22">
        <v>447.0</v>
      </c>
      <c r="I76" s="22">
        <v>360.0</v>
      </c>
      <c r="J76" s="22">
        <v>132.0</v>
      </c>
      <c r="K76" s="22">
        <v>58.0</v>
      </c>
      <c r="L76" s="22" t="s">
        <v>71</v>
      </c>
      <c r="M76" s="22">
        <v>33.0</v>
      </c>
      <c r="N76" s="22">
        <v>95.0</v>
      </c>
      <c r="O76" s="23">
        <v>66.0</v>
      </c>
      <c r="P76" s="22">
        <v>0.0</v>
      </c>
      <c r="Q76" s="22">
        <v>12.0</v>
      </c>
      <c r="R76" s="22">
        <v>0.0</v>
      </c>
      <c r="S76" s="22">
        <v>0.0</v>
      </c>
      <c r="T76" s="24" t="s">
        <v>37</v>
      </c>
      <c r="U76" s="59" t="s">
        <v>42</v>
      </c>
      <c r="W76" s="60"/>
      <c r="X76" s="28" t="s">
        <v>97</v>
      </c>
      <c r="Y76" s="29"/>
    </row>
    <row r="77" ht="15.75" customHeight="1">
      <c r="A77" s="30">
        <v>75.0</v>
      </c>
      <c r="B77" s="31" t="s">
        <v>91</v>
      </c>
      <c r="C77" s="32" t="str">
        <f>HYPERLINK("https://azurlane.koumakan.jp/Ranger","Ranger")</f>
        <v>Ranger</v>
      </c>
      <c r="D77" s="33" t="s">
        <v>40</v>
      </c>
      <c r="E77" s="33">
        <v>4892.0</v>
      </c>
      <c r="F77" s="33">
        <v>0.0</v>
      </c>
      <c r="G77" s="33">
        <v>0.0</v>
      </c>
      <c r="H77" s="33">
        <v>244.0</v>
      </c>
      <c r="I77" s="33">
        <v>253.0</v>
      </c>
      <c r="J77" s="33">
        <v>132.0</v>
      </c>
      <c r="K77" s="33">
        <v>76.0</v>
      </c>
      <c r="L77" s="33" t="s">
        <v>71</v>
      </c>
      <c r="M77" s="33">
        <v>29.0</v>
      </c>
      <c r="N77" s="33">
        <v>92.0</v>
      </c>
      <c r="O77" s="33">
        <v>71.0</v>
      </c>
      <c r="P77" s="33">
        <v>109.0</v>
      </c>
      <c r="Q77" s="33">
        <v>9.0</v>
      </c>
      <c r="R77" s="33">
        <v>0.0</v>
      </c>
      <c r="S77" s="33">
        <v>0.0</v>
      </c>
      <c r="T77" s="35" t="s">
        <v>37</v>
      </c>
      <c r="U77" s="36" t="s">
        <v>70</v>
      </c>
      <c r="V77" s="37" t="s">
        <v>92</v>
      </c>
      <c r="W77" s="62">
        <v>0.1111111111111111</v>
      </c>
      <c r="X77" s="53"/>
      <c r="Y77" s="40"/>
    </row>
    <row r="78" ht="15.75" customHeight="1">
      <c r="A78" s="19">
        <v>75.1</v>
      </c>
      <c r="B78" s="20" t="s">
        <v>91</v>
      </c>
      <c r="C78" s="21" t="str">
        <f>HYPERLINK("https://azurlane.koumakan.jp/Ranger#Retrofit","Ranger (R)")</f>
        <v>Ranger (R)</v>
      </c>
      <c r="D78" s="22" t="s">
        <v>36</v>
      </c>
      <c r="E78" s="22">
        <v>5132.0</v>
      </c>
      <c r="F78" s="22">
        <v>0.0</v>
      </c>
      <c r="G78" s="22">
        <v>0.0</v>
      </c>
      <c r="H78" s="22">
        <v>304.0</v>
      </c>
      <c r="I78" s="22">
        <v>288.0</v>
      </c>
      <c r="J78" s="22">
        <v>137.0</v>
      </c>
      <c r="K78" s="22">
        <v>76.0</v>
      </c>
      <c r="L78" s="22" t="s">
        <v>71</v>
      </c>
      <c r="M78" s="22">
        <v>29.0</v>
      </c>
      <c r="N78" s="22">
        <v>92.0</v>
      </c>
      <c r="O78" s="23">
        <v>71.0</v>
      </c>
      <c r="P78" s="22">
        <v>109.0</v>
      </c>
      <c r="Q78" s="22">
        <v>9.0</v>
      </c>
      <c r="R78" s="22">
        <v>0.0</v>
      </c>
      <c r="S78" s="22">
        <v>0.0</v>
      </c>
      <c r="T78" s="24" t="s">
        <v>37</v>
      </c>
      <c r="U78" s="59" t="s">
        <v>42</v>
      </c>
      <c r="W78" s="60"/>
      <c r="X78" s="54"/>
      <c r="Y78" s="29"/>
    </row>
    <row r="79" ht="15.75" customHeight="1">
      <c r="A79" s="30">
        <v>76.0</v>
      </c>
      <c r="B79" s="31" t="s">
        <v>95</v>
      </c>
      <c r="C79" s="32" t="str">
        <f>HYPERLINK("https://azurlane.koumakan.jp/Yorktown","Yorktown")</f>
        <v>Yorktown</v>
      </c>
      <c r="D79" s="33" t="s">
        <v>28</v>
      </c>
      <c r="E79" s="33">
        <v>5933.0</v>
      </c>
      <c r="F79" s="33">
        <v>0.0</v>
      </c>
      <c r="G79" s="33">
        <v>0.0</v>
      </c>
      <c r="H79" s="33">
        <v>401.0</v>
      </c>
      <c r="I79" s="33">
        <v>324.0</v>
      </c>
      <c r="J79" s="33">
        <v>123.0</v>
      </c>
      <c r="K79" s="33">
        <v>56.0</v>
      </c>
      <c r="L79" s="33" t="s">
        <v>71</v>
      </c>
      <c r="M79" s="33">
        <v>32.0</v>
      </c>
      <c r="N79" s="33">
        <v>98.0</v>
      </c>
      <c r="O79" s="33">
        <v>39.0</v>
      </c>
      <c r="P79" s="33">
        <v>0.0</v>
      </c>
      <c r="Q79" s="33">
        <v>12.0</v>
      </c>
      <c r="R79" s="33">
        <v>0.0</v>
      </c>
      <c r="S79" s="33">
        <v>0.0</v>
      </c>
      <c r="T79" s="35" t="s">
        <v>37</v>
      </c>
      <c r="U79" s="36" t="s">
        <v>72</v>
      </c>
      <c r="V79" s="37" t="s">
        <v>92</v>
      </c>
      <c r="W79" s="38">
        <v>0.18055555555555555</v>
      </c>
      <c r="X79" s="39"/>
      <c r="Y79" s="40"/>
    </row>
    <row r="80" ht="15.75" customHeight="1">
      <c r="A80" s="19">
        <v>77.0</v>
      </c>
      <c r="B80" s="20" t="s">
        <v>95</v>
      </c>
      <c r="C80" s="21" t="str">
        <f>HYPERLINK("https://azurlane.koumakan.jp/Enterprise","Enterprise")</f>
        <v>Enterprise</v>
      </c>
      <c r="D80" s="22" t="s">
        <v>32</v>
      </c>
      <c r="E80" s="22">
        <v>6339.0</v>
      </c>
      <c r="F80" s="22">
        <v>0.0</v>
      </c>
      <c r="G80" s="22">
        <v>0.0</v>
      </c>
      <c r="H80" s="22">
        <v>435.0</v>
      </c>
      <c r="I80" s="22">
        <v>337.0</v>
      </c>
      <c r="J80" s="22">
        <v>134.0</v>
      </c>
      <c r="K80" s="22">
        <v>64.0</v>
      </c>
      <c r="L80" s="22" t="s">
        <v>71</v>
      </c>
      <c r="M80" s="22">
        <v>32.0</v>
      </c>
      <c r="N80" s="22">
        <v>110.0</v>
      </c>
      <c r="O80" s="22">
        <v>93.0</v>
      </c>
      <c r="P80" s="22">
        <v>0.0</v>
      </c>
      <c r="Q80" s="22">
        <v>13.0</v>
      </c>
      <c r="R80" s="22">
        <v>0.0</v>
      </c>
      <c r="S80" s="22">
        <v>0.0</v>
      </c>
      <c r="T80" s="24" t="s">
        <v>37</v>
      </c>
      <c r="U80" s="58"/>
      <c r="V80" s="26" t="s">
        <v>98</v>
      </c>
      <c r="W80" s="27">
        <v>0.18055555555555555</v>
      </c>
      <c r="X80" s="28" t="s">
        <v>99</v>
      </c>
      <c r="Y80" s="29"/>
    </row>
    <row r="81" ht="15.75" customHeight="1">
      <c r="A81" s="30">
        <v>78.0</v>
      </c>
      <c r="B81" s="31" t="s">
        <v>95</v>
      </c>
      <c r="C81" s="32" t="str">
        <f>HYPERLINK("https://azurlane.koumakan.jp/Hornet","Hornet")</f>
        <v>Hornet</v>
      </c>
      <c r="D81" s="33" t="s">
        <v>28</v>
      </c>
      <c r="E81" s="33">
        <v>5960.0</v>
      </c>
      <c r="F81" s="33">
        <v>0.0</v>
      </c>
      <c r="G81" s="33">
        <v>0.0</v>
      </c>
      <c r="H81" s="33">
        <v>406.0</v>
      </c>
      <c r="I81" s="33">
        <v>313.0</v>
      </c>
      <c r="J81" s="33">
        <v>123.0</v>
      </c>
      <c r="K81" s="33">
        <v>56.0</v>
      </c>
      <c r="L81" s="33" t="s">
        <v>71</v>
      </c>
      <c r="M81" s="33">
        <v>32.0</v>
      </c>
      <c r="N81" s="33">
        <v>98.0</v>
      </c>
      <c r="O81" s="33">
        <v>15.0</v>
      </c>
      <c r="P81" s="33">
        <v>0.0</v>
      </c>
      <c r="Q81" s="33">
        <v>12.0</v>
      </c>
      <c r="R81" s="33">
        <v>0.0</v>
      </c>
      <c r="S81" s="33">
        <v>0.0</v>
      </c>
      <c r="T81" s="35" t="s">
        <v>37</v>
      </c>
      <c r="U81" s="36" t="s">
        <v>100</v>
      </c>
      <c r="V81" s="37" t="s">
        <v>92</v>
      </c>
      <c r="W81" s="38">
        <v>0.18055555555555555</v>
      </c>
      <c r="X81" s="39"/>
      <c r="Y81" s="40"/>
    </row>
    <row r="82" ht="15.75" customHeight="1">
      <c r="A82" s="19">
        <v>79.0</v>
      </c>
      <c r="B82" s="20" t="s">
        <v>95</v>
      </c>
      <c r="C82" s="21" t="str">
        <f>HYPERLINK("https://azurlane.koumakan.jp/Wasp","Wasp")</f>
        <v>Wasp</v>
      </c>
      <c r="D82" s="22" t="s">
        <v>36</v>
      </c>
      <c r="E82" s="22">
        <v>5010.0</v>
      </c>
      <c r="F82" s="22">
        <v>0.0</v>
      </c>
      <c r="G82" s="22">
        <v>0.0</v>
      </c>
      <c r="H82" s="22">
        <v>334.0</v>
      </c>
      <c r="I82" s="22">
        <v>278.0</v>
      </c>
      <c r="J82" s="22">
        <v>119.0</v>
      </c>
      <c r="K82" s="22">
        <v>53.0</v>
      </c>
      <c r="L82" s="22" t="s">
        <v>71</v>
      </c>
      <c r="M82" s="22">
        <v>29.0</v>
      </c>
      <c r="N82" s="22">
        <v>90.0</v>
      </c>
      <c r="O82" s="22">
        <v>20.0</v>
      </c>
      <c r="P82" s="22">
        <v>0.0</v>
      </c>
      <c r="Q82" s="22">
        <v>11.0</v>
      </c>
      <c r="R82" s="22">
        <v>0.0</v>
      </c>
      <c r="S82" s="22">
        <v>0.0</v>
      </c>
      <c r="T82" s="24" t="s">
        <v>37</v>
      </c>
      <c r="U82" s="58"/>
      <c r="V82" s="26" t="s">
        <v>85</v>
      </c>
      <c r="W82" s="65"/>
      <c r="X82" s="28" t="s">
        <v>101</v>
      </c>
      <c r="Y82" s="29"/>
    </row>
    <row r="83" ht="15.75" customHeight="1">
      <c r="A83" s="30">
        <v>80.0</v>
      </c>
      <c r="B83" s="31" t="s">
        <v>102</v>
      </c>
      <c r="C83" s="32" t="str">
        <f>HYPERLINK("https://azurlane.koumakan.jp/Vestal","Vestal")</f>
        <v>Vestal</v>
      </c>
      <c r="D83" s="33" t="s">
        <v>28</v>
      </c>
      <c r="E83" s="33">
        <v>4733.0</v>
      </c>
      <c r="F83" s="33">
        <v>50.0</v>
      </c>
      <c r="G83" s="33">
        <v>0.0</v>
      </c>
      <c r="H83" s="33">
        <v>0.0</v>
      </c>
      <c r="I83" s="33">
        <v>155.0</v>
      </c>
      <c r="J83" s="33">
        <v>171.0</v>
      </c>
      <c r="K83" s="33">
        <v>45.0</v>
      </c>
      <c r="L83" s="33" t="s">
        <v>29</v>
      </c>
      <c r="M83" s="33">
        <v>16.0</v>
      </c>
      <c r="N83" s="33">
        <v>111.0</v>
      </c>
      <c r="O83" s="33">
        <v>79.0</v>
      </c>
      <c r="P83" s="33">
        <v>0.0</v>
      </c>
      <c r="Q83" s="33">
        <v>10.0</v>
      </c>
      <c r="R83" s="33">
        <v>0.0</v>
      </c>
      <c r="S83" s="33">
        <v>0.0</v>
      </c>
      <c r="T83" s="35" t="s">
        <v>37</v>
      </c>
      <c r="U83" s="36" t="s">
        <v>103</v>
      </c>
      <c r="V83" s="37" t="s">
        <v>92</v>
      </c>
      <c r="W83" s="38">
        <v>0.08333333333333333</v>
      </c>
      <c r="X83" s="53"/>
      <c r="Y83" s="40"/>
    </row>
    <row r="84" ht="15.75" customHeight="1">
      <c r="A84" s="19">
        <v>81.0</v>
      </c>
      <c r="B84" s="20" t="s">
        <v>27</v>
      </c>
      <c r="C84" s="21" t="str">
        <f>HYPERLINK("https://azurlane.koumakan.jp/Amazon","Amazon")</f>
        <v>Amazon</v>
      </c>
      <c r="D84" s="22" t="s">
        <v>36</v>
      </c>
      <c r="E84" s="22">
        <v>1404.0</v>
      </c>
      <c r="F84" s="22">
        <v>66.0</v>
      </c>
      <c r="G84" s="22">
        <v>365.0</v>
      </c>
      <c r="H84" s="22">
        <v>0.0</v>
      </c>
      <c r="I84" s="22">
        <v>157.0</v>
      </c>
      <c r="J84" s="22">
        <v>194.0</v>
      </c>
      <c r="K84" s="22">
        <v>272.0</v>
      </c>
      <c r="L84" s="22" t="s">
        <v>29</v>
      </c>
      <c r="M84" s="22">
        <v>44.0</v>
      </c>
      <c r="N84" s="22">
        <v>210.0</v>
      </c>
      <c r="O84" s="22">
        <v>72.0</v>
      </c>
      <c r="P84" s="22">
        <v>179.0</v>
      </c>
      <c r="Q84" s="22">
        <v>8.0</v>
      </c>
      <c r="R84" s="22">
        <v>0.0</v>
      </c>
      <c r="S84" s="22">
        <v>0.0</v>
      </c>
      <c r="T84" s="24" t="s">
        <v>104</v>
      </c>
      <c r="U84" s="25" t="s">
        <v>63</v>
      </c>
      <c r="V84" s="26" t="s">
        <v>29</v>
      </c>
      <c r="W84" s="76">
        <v>0.013194444444444444</v>
      </c>
      <c r="X84" s="28" t="s">
        <v>105</v>
      </c>
      <c r="Y84" s="29"/>
    </row>
    <row r="85" ht="15.75" customHeight="1">
      <c r="A85" s="30">
        <v>81.1</v>
      </c>
      <c r="B85" s="31" t="s">
        <v>27</v>
      </c>
      <c r="C85" s="32" t="str">
        <f>HYPERLINK("https://azurlane.koumakan.jp/Amazon#Retrofit","Amazon (R)")</f>
        <v>Amazon (R)</v>
      </c>
      <c r="D85" s="33" t="s">
        <v>28</v>
      </c>
      <c r="E85" s="33">
        <v>1569.0</v>
      </c>
      <c r="F85" s="33">
        <v>66.0</v>
      </c>
      <c r="G85" s="33">
        <v>365.0</v>
      </c>
      <c r="H85" s="33">
        <v>0.0</v>
      </c>
      <c r="I85" s="33">
        <v>197.0</v>
      </c>
      <c r="J85" s="33">
        <v>194.0</v>
      </c>
      <c r="K85" s="33">
        <v>292.0</v>
      </c>
      <c r="L85" s="33" t="s">
        <v>29</v>
      </c>
      <c r="M85" s="33">
        <v>47.0</v>
      </c>
      <c r="N85" s="33">
        <v>210.0</v>
      </c>
      <c r="O85" s="33">
        <v>72.0</v>
      </c>
      <c r="P85" s="33">
        <v>219.0</v>
      </c>
      <c r="Q85" s="33">
        <v>8.0</v>
      </c>
      <c r="R85" s="33">
        <v>0.0</v>
      </c>
      <c r="S85" s="33">
        <v>0.0</v>
      </c>
      <c r="T85" s="35" t="s">
        <v>104</v>
      </c>
      <c r="U85" s="64" t="s">
        <v>42</v>
      </c>
      <c r="W85" s="56"/>
      <c r="X85" s="39"/>
      <c r="Y85" s="40"/>
    </row>
    <row r="86" ht="15.75" customHeight="1">
      <c r="A86" s="19">
        <v>82.0</v>
      </c>
      <c r="B86" s="20" t="s">
        <v>27</v>
      </c>
      <c r="C86" s="21" t="str">
        <f>HYPERLINK("https://azurlane.koumakan.jp/Acasta","Acasta")</f>
        <v>Acasta</v>
      </c>
      <c r="D86" s="22" t="s">
        <v>36</v>
      </c>
      <c r="E86" s="22">
        <v>1404.0</v>
      </c>
      <c r="F86" s="22">
        <v>69.0</v>
      </c>
      <c r="G86" s="22">
        <v>365.0</v>
      </c>
      <c r="H86" s="22">
        <v>0.0</v>
      </c>
      <c r="I86" s="22">
        <v>157.0</v>
      </c>
      <c r="J86" s="22">
        <v>196.0</v>
      </c>
      <c r="K86" s="22">
        <v>269.0</v>
      </c>
      <c r="L86" s="22" t="s">
        <v>29</v>
      </c>
      <c r="M86" s="22">
        <v>42.0</v>
      </c>
      <c r="N86" s="22">
        <v>194.0</v>
      </c>
      <c r="O86" s="22">
        <v>43.0</v>
      </c>
      <c r="P86" s="22">
        <v>176.0</v>
      </c>
      <c r="Q86" s="22">
        <v>8.0</v>
      </c>
      <c r="R86" s="22">
        <v>0.0</v>
      </c>
      <c r="S86" s="22">
        <v>0.0</v>
      </c>
      <c r="T86" s="24" t="s">
        <v>104</v>
      </c>
      <c r="U86" s="58"/>
      <c r="V86" s="26" t="s">
        <v>29</v>
      </c>
      <c r="W86" s="76">
        <v>0.013194444444444444</v>
      </c>
      <c r="X86" s="28" t="s">
        <v>106</v>
      </c>
      <c r="Y86" s="29"/>
    </row>
    <row r="87" ht="15.75" customHeight="1">
      <c r="A87" s="30">
        <v>82.1</v>
      </c>
      <c r="B87" s="31" t="s">
        <v>27</v>
      </c>
      <c r="C87" s="32" t="str">
        <f>HYPERLINK("https://azurlane.koumakan.jp/Acasta#Retrofit","Acasta (R)")</f>
        <v>Acasta (R)</v>
      </c>
      <c r="D87" s="33" t="s">
        <v>28</v>
      </c>
      <c r="E87" s="33">
        <v>1569.0</v>
      </c>
      <c r="F87" s="33">
        <v>69.0</v>
      </c>
      <c r="G87" s="33">
        <v>405.0</v>
      </c>
      <c r="H87" s="33">
        <v>0.0</v>
      </c>
      <c r="I87" s="33">
        <v>172.0</v>
      </c>
      <c r="J87" s="33">
        <v>196.0</v>
      </c>
      <c r="K87" s="33">
        <v>304.0</v>
      </c>
      <c r="L87" s="33" t="s">
        <v>29</v>
      </c>
      <c r="M87" s="33">
        <v>45.0</v>
      </c>
      <c r="N87" s="33">
        <v>194.0</v>
      </c>
      <c r="O87" s="33">
        <v>43.0</v>
      </c>
      <c r="P87" s="33">
        <v>176.0</v>
      </c>
      <c r="Q87" s="33">
        <v>8.0</v>
      </c>
      <c r="R87" s="33">
        <v>0.0</v>
      </c>
      <c r="S87" s="33">
        <v>0.0</v>
      </c>
      <c r="T87" s="35" t="s">
        <v>104</v>
      </c>
      <c r="U87" s="55" t="s">
        <v>42</v>
      </c>
      <c r="W87" s="56"/>
      <c r="X87" s="53"/>
      <c r="Y87" s="40"/>
    </row>
    <row r="88" ht="15.75" customHeight="1">
      <c r="A88" s="19">
        <v>83.0</v>
      </c>
      <c r="B88" s="20" t="s">
        <v>27</v>
      </c>
      <c r="C88" s="21" t="str">
        <f>HYPERLINK("https://azurlane.koumakan.jp/Ardent","Ardent")</f>
        <v>Ardent</v>
      </c>
      <c r="D88" s="22" t="s">
        <v>36</v>
      </c>
      <c r="E88" s="22">
        <v>1404.0</v>
      </c>
      <c r="F88" s="22">
        <v>69.0</v>
      </c>
      <c r="G88" s="22">
        <v>365.0</v>
      </c>
      <c r="H88" s="22">
        <v>0.0</v>
      </c>
      <c r="I88" s="22">
        <v>157.0</v>
      </c>
      <c r="J88" s="22">
        <v>196.0</v>
      </c>
      <c r="K88" s="22">
        <v>269.0</v>
      </c>
      <c r="L88" s="22" t="s">
        <v>29</v>
      </c>
      <c r="M88" s="22">
        <v>42.0</v>
      </c>
      <c r="N88" s="22">
        <v>194.0</v>
      </c>
      <c r="O88" s="22">
        <v>35.0</v>
      </c>
      <c r="P88" s="22">
        <v>176.0</v>
      </c>
      <c r="Q88" s="22">
        <v>8.0</v>
      </c>
      <c r="R88" s="22">
        <v>0.0</v>
      </c>
      <c r="S88" s="22">
        <v>0.0</v>
      </c>
      <c r="T88" s="24" t="s">
        <v>104</v>
      </c>
      <c r="U88" s="58"/>
      <c r="V88" s="26" t="s">
        <v>29</v>
      </c>
      <c r="W88" s="76">
        <v>0.013194444444444444</v>
      </c>
      <c r="X88" s="28" t="s">
        <v>107</v>
      </c>
      <c r="Y88" s="29"/>
    </row>
    <row r="89" ht="15.75" customHeight="1">
      <c r="A89" s="30">
        <v>83.1</v>
      </c>
      <c r="B89" s="31" t="s">
        <v>27</v>
      </c>
      <c r="C89" s="32" t="str">
        <f>HYPERLINK("https://azurlane.koumakan.jp/Ardent#Retrofit","Ardent (R)")</f>
        <v>Ardent (R)</v>
      </c>
      <c r="D89" s="33" t="s">
        <v>28</v>
      </c>
      <c r="E89" s="33">
        <v>1569.0</v>
      </c>
      <c r="F89" s="33">
        <v>69.0</v>
      </c>
      <c r="G89" s="33">
        <v>405.0</v>
      </c>
      <c r="H89" s="33">
        <v>0.0</v>
      </c>
      <c r="I89" s="33">
        <v>172.0</v>
      </c>
      <c r="J89" s="33">
        <v>196.0</v>
      </c>
      <c r="K89" s="33">
        <v>304.0</v>
      </c>
      <c r="L89" s="33" t="s">
        <v>29</v>
      </c>
      <c r="M89" s="33">
        <v>45.0</v>
      </c>
      <c r="N89" s="33">
        <v>194.0</v>
      </c>
      <c r="O89" s="33">
        <v>35.0</v>
      </c>
      <c r="P89" s="33">
        <v>176.0</v>
      </c>
      <c r="Q89" s="33">
        <v>8.0</v>
      </c>
      <c r="R89" s="33">
        <v>0.0</v>
      </c>
      <c r="S89" s="33">
        <v>0.0</v>
      </c>
      <c r="T89" s="35" t="s">
        <v>104</v>
      </c>
      <c r="U89" s="55" t="s">
        <v>42</v>
      </c>
      <c r="W89" s="56"/>
      <c r="X89" s="39" t="s">
        <v>108</v>
      </c>
      <c r="Y89" s="40"/>
    </row>
    <row r="90" ht="15.75" customHeight="1">
      <c r="A90" s="19">
        <v>86.0</v>
      </c>
      <c r="B90" s="20" t="s">
        <v>27</v>
      </c>
      <c r="C90" s="21" t="str">
        <f>HYPERLINK("https://azurlane.koumakan.jp/Beagle","Beagle")</f>
        <v>Beagle</v>
      </c>
      <c r="D90" s="22" t="s">
        <v>40</v>
      </c>
      <c r="E90" s="22">
        <v>1382.0</v>
      </c>
      <c r="F90" s="22">
        <v>66.0</v>
      </c>
      <c r="G90" s="22">
        <v>359.0</v>
      </c>
      <c r="H90" s="22">
        <v>0.0</v>
      </c>
      <c r="I90" s="22">
        <v>153.0</v>
      </c>
      <c r="J90" s="22">
        <v>193.0</v>
      </c>
      <c r="K90" s="22">
        <v>269.0</v>
      </c>
      <c r="L90" s="22" t="s">
        <v>29</v>
      </c>
      <c r="M90" s="22">
        <v>42.0</v>
      </c>
      <c r="N90" s="22">
        <v>197.0</v>
      </c>
      <c r="O90" s="22">
        <v>71.0</v>
      </c>
      <c r="P90" s="22">
        <v>195.0</v>
      </c>
      <c r="Q90" s="22">
        <v>7.0</v>
      </c>
      <c r="R90" s="22">
        <v>0.0</v>
      </c>
      <c r="S90" s="22">
        <v>0.0</v>
      </c>
      <c r="T90" s="24" t="s">
        <v>104</v>
      </c>
      <c r="U90" s="25" t="s">
        <v>96</v>
      </c>
      <c r="V90" s="26" t="s">
        <v>29</v>
      </c>
      <c r="W90" s="27">
        <v>0.013888888888888888</v>
      </c>
      <c r="X90" s="54"/>
      <c r="Y90" s="29"/>
    </row>
    <row r="91" ht="15.75" customHeight="1">
      <c r="A91" s="30">
        <v>87.0</v>
      </c>
      <c r="B91" s="31" t="s">
        <v>27</v>
      </c>
      <c r="C91" s="32" t="str">
        <f>HYPERLINK("https://azurlane.koumakan.jp/Bulldog","Bulldog")</f>
        <v>Bulldog</v>
      </c>
      <c r="D91" s="33" t="s">
        <v>40</v>
      </c>
      <c r="E91" s="33">
        <v>1382.0</v>
      </c>
      <c r="F91" s="33">
        <v>66.0</v>
      </c>
      <c r="G91" s="33">
        <v>359.0</v>
      </c>
      <c r="H91" s="33">
        <v>0.0</v>
      </c>
      <c r="I91" s="33">
        <v>153.0</v>
      </c>
      <c r="J91" s="33">
        <v>193.0</v>
      </c>
      <c r="K91" s="33">
        <v>269.0</v>
      </c>
      <c r="L91" s="33" t="s">
        <v>29</v>
      </c>
      <c r="M91" s="33">
        <v>42.0</v>
      </c>
      <c r="N91" s="33">
        <v>197.0</v>
      </c>
      <c r="O91" s="33">
        <v>65.0</v>
      </c>
      <c r="P91" s="33">
        <v>200.0</v>
      </c>
      <c r="Q91" s="33">
        <v>7.0</v>
      </c>
      <c r="R91" s="33">
        <v>0.0</v>
      </c>
      <c r="S91" s="33">
        <v>0.0</v>
      </c>
      <c r="T91" s="35" t="s">
        <v>104</v>
      </c>
      <c r="U91" s="36" t="s">
        <v>96</v>
      </c>
      <c r="V91" s="37" t="s">
        <v>29</v>
      </c>
      <c r="W91" s="38">
        <v>0.013888888888888888</v>
      </c>
      <c r="X91" s="53"/>
      <c r="Y91" s="40"/>
    </row>
    <row r="92" ht="15.75" customHeight="1">
      <c r="A92" s="19">
        <v>88.0</v>
      </c>
      <c r="B92" s="20" t="s">
        <v>27</v>
      </c>
      <c r="C92" s="21" t="str">
        <f>HYPERLINK("https://azurlane.koumakan.jp/Comet","Comet")</f>
        <v>Comet</v>
      </c>
      <c r="D92" s="22" t="s">
        <v>40</v>
      </c>
      <c r="E92" s="22">
        <v>1393.0</v>
      </c>
      <c r="F92" s="22">
        <v>69.0</v>
      </c>
      <c r="G92" s="22">
        <v>354.0</v>
      </c>
      <c r="H92" s="22">
        <v>0.0</v>
      </c>
      <c r="I92" s="22">
        <v>153.0</v>
      </c>
      <c r="J92" s="22">
        <v>193.0</v>
      </c>
      <c r="K92" s="22">
        <v>270.0</v>
      </c>
      <c r="L92" s="22" t="s">
        <v>29</v>
      </c>
      <c r="M92" s="22">
        <v>43.0</v>
      </c>
      <c r="N92" s="22">
        <v>200.0</v>
      </c>
      <c r="O92" s="22">
        <v>54.0</v>
      </c>
      <c r="P92" s="22">
        <v>209.0</v>
      </c>
      <c r="Q92" s="22">
        <v>7.0</v>
      </c>
      <c r="R92" s="22">
        <v>0.0</v>
      </c>
      <c r="S92" s="22">
        <v>0.0</v>
      </c>
      <c r="T92" s="24" t="s">
        <v>104</v>
      </c>
      <c r="U92" s="25" t="s">
        <v>44</v>
      </c>
      <c r="V92" s="26" t="s">
        <v>29</v>
      </c>
      <c r="W92" s="76">
        <v>0.014583333333333334</v>
      </c>
      <c r="X92" s="54"/>
      <c r="Y92" s="29"/>
    </row>
    <row r="93" ht="15.75" customHeight="1">
      <c r="A93" s="30">
        <v>88.1</v>
      </c>
      <c r="B93" s="31" t="s">
        <v>27</v>
      </c>
      <c r="C93" s="32" t="str">
        <f>HYPERLINK("https://azurlane.koumakan.jp/Comet#Retrofit","Comet (R)")</f>
        <v>Comet (R)</v>
      </c>
      <c r="D93" s="33" t="s">
        <v>36</v>
      </c>
      <c r="E93" s="33">
        <v>1558.0</v>
      </c>
      <c r="F93" s="33">
        <v>69.0</v>
      </c>
      <c r="G93" s="33">
        <v>389.0</v>
      </c>
      <c r="H93" s="33">
        <v>0.0</v>
      </c>
      <c r="I93" s="33">
        <v>168.0</v>
      </c>
      <c r="J93" s="33">
        <v>198.0</v>
      </c>
      <c r="K93" s="33">
        <v>305.0</v>
      </c>
      <c r="L93" s="33" t="s">
        <v>29</v>
      </c>
      <c r="M93" s="33">
        <v>46.0</v>
      </c>
      <c r="N93" s="33">
        <v>200.0</v>
      </c>
      <c r="O93" s="34">
        <v>54.0</v>
      </c>
      <c r="P93" s="33">
        <v>209.0</v>
      </c>
      <c r="Q93" s="33">
        <v>7.0</v>
      </c>
      <c r="R93" s="33">
        <v>0.0</v>
      </c>
      <c r="S93" s="33">
        <v>0.0</v>
      </c>
      <c r="T93" s="35" t="s">
        <v>104</v>
      </c>
      <c r="U93" s="55" t="s">
        <v>42</v>
      </c>
      <c r="W93" s="56"/>
      <c r="X93" s="53"/>
      <c r="Y93" s="40"/>
    </row>
    <row r="94" ht="15.75" customHeight="1">
      <c r="A94" s="19">
        <v>89.0</v>
      </c>
      <c r="B94" s="20" t="s">
        <v>27</v>
      </c>
      <c r="C94" s="21" t="str">
        <f>HYPERLINK("https://azurlane.koumakan.jp/Crescent","Crescent")</f>
        <v>Crescent</v>
      </c>
      <c r="D94" s="22" t="s">
        <v>40</v>
      </c>
      <c r="E94" s="22">
        <v>1393.0</v>
      </c>
      <c r="F94" s="22">
        <v>69.0</v>
      </c>
      <c r="G94" s="22">
        <v>354.0</v>
      </c>
      <c r="H94" s="22">
        <v>0.0</v>
      </c>
      <c r="I94" s="22">
        <v>153.0</v>
      </c>
      <c r="J94" s="22">
        <v>193.0</v>
      </c>
      <c r="K94" s="22">
        <v>270.0</v>
      </c>
      <c r="L94" s="22" t="s">
        <v>29</v>
      </c>
      <c r="M94" s="22">
        <v>43.0</v>
      </c>
      <c r="N94" s="22">
        <v>200.0</v>
      </c>
      <c r="O94" s="22">
        <v>35.0</v>
      </c>
      <c r="P94" s="22">
        <v>209.0</v>
      </c>
      <c r="Q94" s="22">
        <v>7.0</v>
      </c>
      <c r="R94" s="22">
        <v>0.0</v>
      </c>
      <c r="S94" s="22">
        <v>0.0</v>
      </c>
      <c r="T94" s="24" t="s">
        <v>104</v>
      </c>
      <c r="U94" s="25" t="s">
        <v>44</v>
      </c>
      <c r="V94" s="26" t="s">
        <v>29</v>
      </c>
      <c r="W94" s="76">
        <v>0.014583333333333334</v>
      </c>
      <c r="X94" s="54"/>
      <c r="Y94" s="29"/>
    </row>
    <row r="95" ht="15.75" customHeight="1">
      <c r="A95" s="30">
        <v>89.1</v>
      </c>
      <c r="B95" s="31" t="s">
        <v>27</v>
      </c>
      <c r="C95" s="32" t="str">
        <f>HYPERLINK("https://azurlane.koumakan.jp/Crescent#Retrofit","Crescent (R)")</f>
        <v>Crescent (R)</v>
      </c>
      <c r="D95" s="33" t="s">
        <v>36</v>
      </c>
      <c r="E95" s="33">
        <v>1524.0</v>
      </c>
      <c r="F95" s="33">
        <v>109.0</v>
      </c>
      <c r="G95" s="33">
        <v>354.0</v>
      </c>
      <c r="H95" s="33">
        <v>0.0</v>
      </c>
      <c r="I95" s="33">
        <v>168.0</v>
      </c>
      <c r="J95" s="33">
        <v>193.0</v>
      </c>
      <c r="K95" s="33">
        <v>300.0</v>
      </c>
      <c r="L95" s="33" t="s">
        <v>29</v>
      </c>
      <c r="M95" s="33">
        <v>46.0</v>
      </c>
      <c r="N95" s="33">
        <v>205.0</v>
      </c>
      <c r="O95" s="34">
        <v>35.0</v>
      </c>
      <c r="P95" s="33">
        <v>209.0</v>
      </c>
      <c r="Q95" s="33">
        <v>7.0</v>
      </c>
      <c r="R95" s="33">
        <v>0.0</v>
      </c>
      <c r="S95" s="33">
        <v>0.0</v>
      </c>
      <c r="T95" s="35" t="s">
        <v>104</v>
      </c>
      <c r="U95" s="55" t="s">
        <v>42</v>
      </c>
      <c r="W95" s="56"/>
      <c r="X95" s="53"/>
      <c r="Y95" s="40"/>
    </row>
    <row r="96" ht="15.75" customHeight="1">
      <c r="A96" s="19">
        <v>90.0</v>
      </c>
      <c r="B96" s="20" t="s">
        <v>27</v>
      </c>
      <c r="C96" s="21" t="str">
        <f>HYPERLINK("https://azurlane.koumakan.jp/Cygnet","Cygnet")</f>
        <v>Cygnet</v>
      </c>
      <c r="D96" s="22" t="s">
        <v>40</v>
      </c>
      <c r="E96" s="22">
        <v>1393.0</v>
      </c>
      <c r="F96" s="22">
        <v>69.0</v>
      </c>
      <c r="G96" s="22">
        <v>354.0</v>
      </c>
      <c r="H96" s="22">
        <v>0.0</v>
      </c>
      <c r="I96" s="22">
        <v>153.0</v>
      </c>
      <c r="J96" s="22">
        <v>193.0</v>
      </c>
      <c r="K96" s="22">
        <v>270.0</v>
      </c>
      <c r="L96" s="22" t="s">
        <v>29</v>
      </c>
      <c r="M96" s="22">
        <v>43.0</v>
      </c>
      <c r="N96" s="22">
        <v>200.0</v>
      </c>
      <c r="O96" s="22">
        <v>72.0</v>
      </c>
      <c r="P96" s="22">
        <v>213.0</v>
      </c>
      <c r="Q96" s="22">
        <v>7.0</v>
      </c>
      <c r="R96" s="22">
        <v>0.0</v>
      </c>
      <c r="S96" s="22">
        <v>0.0</v>
      </c>
      <c r="T96" s="24" t="s">
        <v>104</v>
      </c>
      <c r="U96" s="25" t="s">
        <v>44</v>
      </c>
      <c r="V96" s="75" t="s">
        <v>29</v>
      </c>
      <c r="W96" s="76">
        <v>0.014583333333333334</v>
      </c>
      <c r="X96" s="54"/>
      <c r="Y96" s="29"/>
    </row>
    <row r="97" ht="15.75" customHeight="1">
      <c r="A97" s="30">
        <v>90.1</v>
      </c>
      <c r="B97" s="31" t="s">
        <v>27</v>
      </c>
      <c r="C97" s="32" t="str">
        <f>HYPERLINK("https://azurlane.koumakan.jp/Cygnet#Retrofit","Cygnet (R)")</f>
        <v>Cygnet (R)</v>
      </c>
      <c r="D97" s="33" t="s">
        <v>36</v>
      </c>
      <c r="E97" s="33">
        <v>1558.0</v>
      </c>
      <c r="F97" s="33">
        <v>99.0</v>
      </c>
      <c r="G97" s="33">
        <v>354.0</v>
      </c>
      <c r="H97" s="33">
        <v>0.0</v>
      </c>
      <c r="I97" s="33">
        <v>168.0</v>
      </c>
      <c r="J97" s="33">
        <v>193.0</v>
      </c>
      <c r="K97" s="63">
        <v>315.0</v>
      </c>
      <c r="L97" s="33" t="s">
        <v>29</v>
      </c>
      <c r="M97" s="33">
        <v>46.0</v>
      </c>
      <c r="N97" s="33">
        <v>200.0</v>
      </c>
      <c r="O97" s="34">
        <v>72.0</v>
      </c>
      <c r="P97" s="33">
        <v>213.0</v>
      </c>
      <c r="Q97" s="33">
        <v>7.0</v>
      </c>
      <c r="R97" s="33">
        <v>0.0</v>
      </c>
      <c r="S97" s="33">
        <v>0.0</v>
      </c>
      <c r="T97" s="35" t="s">
        <v>104</v>
      </c>
      <c r="U97" s="55" t="s">
        <v>42</v>
      </c>
      <c r="W97" s="56"/>
      <c r="X97" s="53"/>
      <c r="Y97" s="40"/>
    </row>
    <row r="98" ht="15.75" customHeight="1">
      <c r="A98" s="19">
        <v>91.0</v>
      </c>
      <c r="B98" s="20" t="s">
        <v>27</v>
      </c>
      <c r="C98" s="21" t="str">
        <f>HYPERLINK("https://azurlane.koumakan.jp/Foxhound","Foxhound")</f>
        <v>Foxhound</v>
      </c>
      <c r="D98" s="22" t="s">
        <v>40</v>
      </c>
      <c r="E98" s="22">
        <v>1406.0</v>
      </c>
      <c r="F98" s="22">
        <v>72.0</v>
      </c>
      <c r="G98" s="22">
        <v>355.0</v>
      </c>
      <c r="H98" s="22">
        <v>0.0</v>
      </c>
      <c r="I98" s="22">
        <v>153.0</v>
      </c>
      <c r="J98" s="22">
        <v>194.0</v>
      </c>
      <c r="K98" s="22">
        <v>269.0</v>
      </c>
      <c r="L98" s="22" t="s">
        <v>29</v>
      </c>
      <c r="M98" s="22">
        <v>42.0</v>
      </c>
      <c r="N98" s="22">
        <v>203.0</v>
      </c>
      <c r="O98" s="22">
        <v>68.0</v>
      </c>
      <c r="P98" s="22">
        <v>217.0</v>
      </c>
      <c r="Q98" s="22">
        <v>7.0</v>
      </c>
      <c r="R98" s="22">
        <v>0.0</v>
      </c>
      <c r="S98" s="22">
        <v>0.0</v>
      </c>
      <c r="T98" s="24" t="s">
        <v>104</v>
      </c>
      <c r="U98" s="25" t="s">
        <v>50</v>
      </c>
      <c r="V98" s="26" t="s">
        <v>29</v>
      </c>
      <c r="W98" s="76">
        <v>0.016666666666666666</v>
      </c>
      <c r="X98" s="28" t="s">
        <v>109</v>
      </c>
      <c r="Y98" s="29"/>
    </row>
    <row r="99" ht="15.75" customHeight="1">
      <c r="A99" s="30">
        <v>91.1</v>
      </c>
      <c r="B99" s="31" t="s">
        <v>27</v>
      </c>
      <c r="C99" s="32" t="str">
        <f>HYPERLINK("https://azurlane.koumakan.jp/Foxhound#Retrofit","Foxhound (R)")</f>
        <v>Foxhound (R)</v>
      </c>
      <c r="D99" s="33" t="s">
        <v>36</v>
      </c>
      <c r="E99" s="33">
        <v>1571.0</v>
      </c>
      <c r="F99" s="33">
        <v>107.0</v>
      </c>
      <c r="G99" s="33">
        <v>355.0</v>
      </c>
      <c r="H99" s="33">
        <v>0.0</v>
      </c>
      <c r="I99" s="33">
        <v>168.0</v>
      </c>
      <c r="J99" s="33">
        <v>194.0</v>
      </c>
      <c r="K99" s="33">
        <v>309.0</v>
      </c>
      <c r="L99" s="33" t="s">
        <v>29</v>
      </c>
      <c r="M99" s="33">
        <v>45.0</v>
      </c>
      <c r="N99" s="33">
        <v>203.0</v>
      </c>
      <c r="O99" s="34">
        <v>68.0</v>
      </c>
      <c r="P99" s="33">
        <v>217.0</v>
      </c>
      <c r="Q99" s="33">
        <v>7.0</v>
      </c>
      <c r="R99" s="33">
        <v>0.0</v>
      </c>
      <c r="S99" s="33">
        <v>0.0</v>
      </c>
      <c r="T99" s="35" t="s">
        <v>104</v>
      </c>
      <c r="U99" s="55" t="s">
        <v>42</v>
      </c>
      <c r="W99" s="56"/>
      <c r="X99" s="39" t="s">
        <v>110</v>
      </c>
      <c r="Y99" s="40"/>
    </row>
    <row r="100" ht="15.75" customHeight="1">
      <c r="A100" s="19">
        <v>92.0</v>
      </c>
      <c r="B100" s="20" t="s">
        <v>27</v>
      </c>
      <c r="C100" s="21" t="str">
        <f>HYPERLINK("https://azurlane.koumakan.jp/Fortune","Fortune")</f>
        <v>Fortune</v>
      </c>
      <c r="D100" s="22" t="s">
        <v>36</v>
      </c>
      <c r="E100" s="22">
        <v>1436.0</v>
      </c>
      <c r="F100" s="22">
        <v>73.0</v>
      </c>
      <c r="G100" s="22">
        <v>362.0</v>
      </c>
      <c r="H100" s="22">
        <v>0.0</v>
      </c>
      <c r="I100" s="22">
        <v>157.0</v>
      </c>
      <c r="J100" s="22">
        <v>197.0</v>
      </c>
      <c r="K100" s="22">
        <v>269.0</v>
      </c>
      <c r="L100" s="22" t="s">
        <v>29</v>
      </c>
      <c r="M100" s="22">
        <v>42.0</v>
      </c>
      <c r="N100" s="22">
        <v>203.0</v>
      </c>
      <c r="O100" s="22">
        <v>68.0</v>
      </c>
      <c r="P100" s="22">
        <v>221.0</v>
      </c>
      <c r="Q100" s="22">
        <v>8.0</v>
      </c>
      <c r="R100" s="22">
        <v>0.0</v>
      </c>
      <c r="S100" s="22">
        <v>0.0</v>
      </c>
      <c r="T100" s="24" t="s">
        <v>104</v>
      </c>
      <c r="U100" s="25" t="s">
        <v>48</v>
      </c>
      <c r="V100" s="26" t="s">
        <v>49</v>
      </c>
      <c r="W100" s="76">
        <v>0.016666666666666666</v>
      </c>
      <c r="X100" s="54"/>
      <c r="Y100" s="29"/>
    </row>
    <row r="101" ht="15.75" customHeight="1">
      <c r="A101" s="30">
        <v>92.1</v>
      </c>
      <c r="B101" s="31" t="s">
        <v>27</v>
      </c>
      <c r="C101" s="32" t="str">
        <f>HYPERLINK("https://azurlane.koumakan.jp/Fortune#Retrofit","Fortune (R)")</f>
        <v>Fortune (R)</v>
      </c>
      <c r="D101" s="33" t="s">
        <v>28</v>
      </c>
      <c r="E101" s="33">
        <v>1601.0</v>
      </c>
      <c r="F101" s="33">
        <v>108.0</v>
      </c>
      <c r="G101" s="33">
        <v>362.0</v>
      </c>
      <c r="H101" s="33">
        <v>0.0</v>
      </c>
      <c r="I101" s="33">
        <v>172.0</v>
      </c>
      <c r="J101" s="33">
        <v>197.0</v>
      </c>
      <c r="K101" s="33">
        <v>309.0</v>
      </c>
      <c r="L101" s="33" t="s">
        <v>29</v>
      </c>
      <c r="M101" s="33">
        <v>45.0</v>
      </c>
      <c r="N101" s="33">
        <v>203.0</v>
      </c>
      <c r="O101" s="34">
        <v>68.0</v>
      </c>
      <c r="P101" s="33">
        <v>221.0</v>
      </c>
      <c r="Q101" s="33">
        <v>8.0</v>
      </c>
      <c r="R101" s="33">
        <v>0.0</v>
      </c>
      <c r="S101" s="33">
        <v>0.0</v>
      </c>
      <c r="T101" s="35" t="s">
        <v>104</v>
      </c>
      <c r="U101" s="55" t="s">
        <v>42</v>
      </c>
      <c r="W101" s="56"/>
      <c r="X101" s="39" t="s">
        <v>110</v>
      </c>
      <c r="Y101" s="40"/>
    </row>
    <row r="102" ht="15.75" customHeight="1">
      <c r="A102" s="19">
        <v>93.0</v>
      </c>
      <c r="B102" s="20" t="s">
        <v>27</v>
      </c>
      <c r="C102" s="21" t="str">
        <f>HYPERLINK("https://azurlane.koumakan.jp/Grenville","Grenville")</f>
        <v>Grenville</v>
      </c>
      <c r="D102" s="22" t="s">
        <v>28</v>
      </c>
      <c r="E102" s="22">
        <v>1555.0</v>
      </c>
      <c r="F102" s="22">
        <v>87.0</v>
      </c>
      <c r="G102" s="22">
        <v>369.0</v>
      </c>
      <c r="H102" s="22">
        <v>0.0</v>
      </c>
      <c r="I102" s="22">
        <v>168.0</v>
      </c>
      <c r="J102" s="22">
        <v>204.0</v>
      </c>
      <c r="K102" s="22">
        <v>270.0</v>
      </c>
      <c r="L102" s="22" t="s">
        <v>29</v>
      </c>
      <c r="M102" s="22">
        <v>43.0</v>
      </c>
      <c r="N102" s="22">
        <v>207.0</v>
      </c>
      <c r="O102" s="22">
        <v>32.0</v>
      </c>
      <c r="P102" s="22">
        <v>218.0</v>
      </c>
      <c r="Q102" s="22">
        <v>9.0</v>
      </c>
      <c r="R102" s="22">
        <v>0.0</v>
      </c>
      <c r="S102" s="22">
        <v>0.0</v>
      </c>
      <c r="T102" s="24" t="s">
        <v>104</v>
      </c>
      <c r="U102" s="25"/>
      <c r="V102" s="26" t="s">
        <v>76</v>
      </c>
      <c r="W102" s="27"/>
      <c r="X102" s="28" t="s">
        <v>111</v>
      </c>
      <c r="Y102" s="29"/>
    </row>
    <row r="103" ht="15.75" customHeight="1">
      <c r="A103" s="30">
        <v>94.0</v>
      </c>
      <c r="B103" s="31" t="s">
        <v>27</v>
      </c>
      <c r="C103" s="32" t="str">
        <f>HYPERLINK("https://azurlane.koumakan.jp/Glowworm","Glowworm")</f>
        <v>Glowworm</v>
      </c>
      <c r="D103" s="33" t="s">
        <v>28</v>
      </c>
      <c r="E103" s="33">
        <v>1446.0</v>
      </c>
      <c r="F103" s="33">
        <v>80.0</v>
      </c>
      <c r="G103" s="33">
        <v>375.0</v>
      </c>
      <c r="H103" s="33">
        <v>0.0</v>
      </c>
      <c r="I103" s="33">
        <v>168.0</v>
      </c>
      <c r="J103" s="33">
        <v>204.0</v>
      </c>
      <c r="K103" s="33">
        <v>270.0</v>
      </c>
      <c r="L103" s="33" t="s">
        <v>29</v>
      </c>
      <c r="M103" s="33">
        <v>43.0</v>
      </c>
      <c r="N103" s="33">
        <v>210.0</v>
      </c>
      <c r="O103" s="33">
        <v>36.0</v>
      </c>
      <c r="P103" s="33">
        <v>218.0</v>
      </c>
      <c r="Q103" s="33">
        <v>9.0</v>
      </c>
      <c r="R103" s="33">
        <v>0.0</v>
      </c>
      <c r="S103" s="33">
        <v>0.0</v>
      </c>
      <c r="T103" s="35" t="s">
        <v>104</v>
      </c>
      <c r="U103" s="36" t="s">
        <v>58</v>
      </c>
      <c r="V103" s="37" t="s">
        <v>29</v>
      </c>
      <c r="W103" s="38">
        <v>0.017361111111111112</v>
      </c>
      <c r="X103" s="39" t="s">
        <v>112</v>
      </c>
      <c r="Y103" s="40"/>
    </row>
    <row r="104" ht="15.75" customHeight="1">
      <c r="A104" s="77">
        <v>96.0</v>
      </c>
      <c r="B104" s="78" t="s">
        <v>27</v>
      </c>
      <c r="C104" s="79" t="str">
        <f>HYPERLINK("https://azurlane.koumakan.jp/Hardy","Hardy")</f>
        <v>Hardy</v>
      </c>
      <c r="D104" s="26" t="s">
        <v>28</v>
      </c>
      <c r="E104" s="22">
        <v>1555.0</v>
      </c>
      <c r="F104" s="22">
        <v>82.0</v>
      </c>
      <c r="G104" s="22">
        <v>379.0</v>
      </c>
      <c r="H104" s="22">
        <v>0.0</v>
      </c>
      <c r="I104" s="22">
        <v>160.0</v>
      </c>
      <c r="J104" s="22">
        <v>204.0</v>
      </c>
      <c r="K104" s="22">
        <v>270.0</v>
      </c>
      <c r="L104" s="22" t="s">
        <v>29</v>
      </c>
      <c r="M104" s="22">
        <v>43.0</v>
      </c>
      <c r="N104" s="22">
        <v>222.0</v>
      </c>
      <c r="O104" s="22">
        <v>40.0</v>
      </c>
      <c r="P104" s="22">
        <v>195.0</v>
      </c>
      <c r="Q104" s="22">
        <v>9.0</v>
      </c>
      <c r="R104" s="22">
        <v>0.0</v>
      </c>
      <c r="S104" s="22">
        <v>0.0</v>
      </c>
      <c r="T104" s="24" t="s">
        <v>104</v>
      </c>
      <c r="U104" s="58"/>
      <c r="V104" s="75" t="s">
        <v>76</v>
      </c>
      <c r="W104" s="76">
        <v>0.018055555555555554</v>
      </c>
      <c r="X104" s="28" t="s">
        <v>113</v>
      </c>
      <c r="Y104" s="29"/>
    </row>
    <row r="105" ht="15.75" customHeight="1">
      <c r="A105" s="49">
        <v>100.0</v>
      </c>
      <c r="B105" s="50" t="s">
        <v>27</v>
      </c>
      <c r="C105" s="51" t="str">
        <f>HYPERLINK("https://azurlane.koumakan.jp/Hunter","Hunter")</f>
        <v>Hunter</v>
      </c>
      <c r="D105" s="37" t="s">
        <v>36</v>
      </c>
      <c r="E105" s="33">
        <v>1404.0</v>
      </c>
      <c r="F105" s="33">
        <v>77.0</v>
      </c>
      <c r="G105" s="33">
        <v>360.0</v>
      </c>
      <c r="H105" s="33">
        <v>0.0</v>
      </c>
      <c r="I105" s="33">
        <v>160.0</v>
      </c>
      <c r="J105" s="33">
        <v>199.0</v>
      </c>
      <c r="K105" s="33">
        <v>270.0</v>
      </c>
      <c r="L105" s="33" t="s">
        <v>29</v>
      </c>
      <c r="M105" s="33">
        <v>43.0</v>
      </c>
      <c r="N105" s="33">
        <v>215.0</v>
      </c>
      <c r="O105" s="33">
        <v>24.0</v>
      </c>
      <c r="P105" s="33">
        <v>190.0</v>
      </c>
      <c r="Q105" s="33">
        <v>8.0</v>
      </c>
      <c r="R105" s="33">
        <v>0.0</v>
      </c>
      <c r="S105" s="33">
        <v>0.0</v>
      </c>
      <c r="T105" s="35" t="s">
        <v>104</v>
      </c>
      <c r="U105" s="57"/>
      <c r="V105" s="37" t="s">
        <v>76</v>
      </c>
      <c r="W105" s="52"/>
      <c r="X105" s="39" t="s">
        <v>114</v>
      </c>
      <c r="Y105" s="40"/>
    </row>
    <row r="106" ht="15.75" customHeight="1">
      <c r="A106" s="19">
        <v>101.0</v>
      </c>
      <c r="B106" s="20" t="s">
        <v>27</v>
      </c>
      <c r="C106" s="21" t="str">
        <f>HYPERLINK("https://azurlane.koumakan.jp/Javelin","Javelin")</f>
        <v>Javelin</v>
      </c>
      <c r="D106" s="22" t="s">
        <v>28</v>
      </c>
      <c r="E106" s="22">
        <v>1619.0</v>
      </c>
      <c r="F106" s="22">
        <v>82.0</v>
      </c>
      <c r="G106" s="22">
        <v>379.0</v>
      </c>
      <c r="H106" s="22">
        <v>0.0</v>
      </c>
      <c r="I106" s="22">
        <v>164.0</v>
      </c>
      <c r="J106" s="22">
        <v>210.0</v>
      </c>
      <c r="K106" s="22">
        <v>270.0</v>
      </c>
      <c r="L106" s="22" t="s">
        <v>29</v>
      </c>
      <c r="M106" s="22">
        <v>43.0</v>
      </c>
      <c r="N106" s="22">
        <v>218.0</v>
      </c>
      <c r="O106" s="22">
        <v>65.0</v>
      </c>
      <c r="P106" s="22">
        <v>218.0</v>
      </c>
      <c r="Q106" s="22">
        <v>9.0</v>
      </c>
      <c r="R106" s="22">
        <v>0.0</v>
      </c>
      <c r="S106" s="22">
        <v>0.0</v>
      </c>
      <c r="T106" s="24" t="s">
        <v>104</v>
      </c>
      <c r="U106" s="25" t="s">
        <v>67</v>
      </c>
      <c r="V106" s="26" t="s">
        <v>29</v>
      </c>
      <c r="W106" s="76">
        <v>0.01875</v>
      </c>
      <c r="X106" s="28"/>
      <c r="Y106" s="29"/>
    </row>
    <row r="107" ht="15.75" customHeight="1">
      <c r="A107" s="30">
        <v>101.1</v>
      </c>
      <c r="B107" s="31" t="s">
        <v>27</v>
      </c>
      <c r="C107" s="32" t="str">
        <f>HYPERLINK("https://azurlane.koumakan.jp/Javelin#Retrofit","Javelin (R)")</f>
        <v>Javelin (R)</v>
      </c>
      <c r="D107" s="33" t="s">
        <v>32</v>
      </c>
      <c r="E107" s="33">
        <v>1784.0</v>
      </c>
      <c r="F107" s="33">
        <v>92.0</v>
      </c>
      <c r="G107" s="33">
        <v>434.0</v>
      </c>
      <c r="H107" s="33">
        <v>0.0</v>
      </c>
      <c r="I107" s="33">
        <v>164.0</v>
      </c>
      <c r="J107" s="33">
        <v>210.0</v>
      </c>
      <c r="K107" s="33">
        <v>310.0</v>
      </c>
      <c r="L107" s="33" t="s">
        <v>29</v>
      </c>
      <c r="M107" s="33">
        <v>46.0</v>
      </c>
      <c r="N107" s="33">
        <v>218.0</v>
      </c>
      <c r="O107" s="33">
        <v>65.0</v>
      </c>
      <c r="P107" s="33">
        <v>218.0</v>
      </c>
      <c r="Q107" s="33">
        <v>9.0</v>
      </c>
      <c r="R107" s="33">
        <v>0.0</v>
      </c>
      <c r="S107" s="33">
        <v>0.0</v>
      </c>
      <c r="T107" s="35" t="s">
        <v>104</v>
      </c>
      <c r="U107" s="55" t="s">
        <v>42</v>
      </c>
      <c r="W107" s="56"/>
      <c r="X107" s="53"/>
      <c r="Y107" s="40"/>
    </row>
    <row r="108" ht="15.75" customHeight="1">
      <c r="A108" s="19">
        <v>102.0</v>
      </c>
      <c r="B108" s="20" t="s">
        <v>27</v>
      </c>
      <c r="C108" s="21" t="str">
        <f>HYPERLINK("https://azurlane.koumakan.jp/Juno","Juno")</f>
        <v>Juno</v>
      </c>
      <c r="D108" s="22" t="s">
        <v>36</v>
      </c>
      <c r="E108" s="22">
        <v>1573.0</v>
      </c>
      <c r="F108" s="22">
        <v>77.0</v>
      </c>
      <c r="G108" s="22">
        <v>369.0</v>
      </c>
      <c r="H108" s="22">
        <v>0.0</v>
      </c>
      <c r="I108" s="22">
        <v>159.0</v>
      </c>
      <c r="J108" s="22">
        <v>204.0</v>
      </c>
      <c r="K108" s="22">
        <v>270.0</v>
      </c>
      <c r="L108" s="22" t="s">
        <v>29</v>
      </c>
      <c r="M108" s="22">
        <v>43.0</v>
      </c>
      <c r="N108" s="22">
        <v>218.0</v>
      </c>
      <c r="O108" s="22">
        <v>40.0</v>
      </c>
      <c r="P108" s="22">
        <v>213.0</v>
      </c>
      <c r="Q108" s="22">
        <v>8.0</v>
      </c>
      <c r="R108" s="22">
        <v>0.0</v>
      </c>
      <c r="S108" s="22">
        <v>0.0</v>
      </c>
      <c r="T108" s="24" t="s">
        <v>104</v>
      </c>
      <c r="U108" s="25" t="s">
        <v>67</v>
      </c>
      <c r="V108" s="75" t="s">
        <v>29</v>
      </c>
      <c r="W108" s="76">
        <v>0.01875</v>
      </c>
      <c r="X108" s="28"/>
      <c r="Y108" s="29"/>
    </row>
    <row r="109" ht="15.75" customHeight="1">
      <c r="A109" s="30">
        <v>103.0</v>
      </c>
      <c r="B109" s="31" t="s">
        <v>27</v>
      </c>
      <c r="C109" s="32" t="str">
        <f>HYPERLINK("https://azurlane.koumakan.jp/Vampire","Vampire")</f>
        <v>Vampire</v>
      </c>
      <c r="D109" s="33" t="s">
        <v>28</v>
      </c>
      <c r="E109" s="33">
        <v>1346.0</v>
      </c>
      <c r="F109" s="33">
        <v>72.0</v>
      </c>
      <c r="G109" s="33">
        <v>381.0</v>
      </c>
      <c r="H109" s="33">
        <v>0.0</v>
      </c>
      <c r="I109" s="33">
        <v>159.0</v>
      </c>
      <c r="J109" s="33">
        <v>199.0</v>
      </c>
      <c r="K109" s="33">
        <v>252.0</v>
      </c>
      <c r="L109" s="33" t="s">
        <v>29</v>
      </c>
      <c r="M109" s="33">
        <v>40.0</v>
      </c>
      <c r="N109" s="33">
        <v>187.0</v>
      </c>
      <c r="O109" s="33">
        <v>42.0</v>
      </c>
      <c r="P109" s="33">
        <v>210.0</v>
      </c>
      <c r="Q109" s="33">
        <v>9.0</v>
      </c>
      <c r="R109" s="33">
        <v>0.0</v>
      </c>
      <c r="S109" s="33">
        <v>0.0</v>
      </c>
      <c r="T109" s="35" t="s">
        <v>104</v>
      </c>
      <c r="U109" s="57"/>
      <c r="V109" s="37" t="s">
        <v>49</v>
      </c>
      <c r="W109" s="38">
        <v>0.0125</v>
      </c>
      <c r="X109" s="39"/>
      <c r="Y109" s="40"/>
    </row>
    <row r="110" ht="15.75" customHeight="1">
      <c r="A110" s="19">
        <v>104.0</v>
      </c>
      <c r="B110" s="20" t="s">
        <v>52</v>
      </c>
      <c r="C110" s="21" t="str">
        <f>HYPERLINK("https://azurlane.koumakan.jp/Leander","Leander")</f>
        <v>Leander</v>
      </c>
      <c r="D110" s="22" t="s">
        <v>40</v>
      </c>
      <c r="E110" s="22">
        <v>3322.0</v>
      </c>
      <c r="F110" s="22">
        <v>148.0</v>
      </c>
      <c r="G110" s="22">
        <v>274.0</v>
      </c>
      <c r="H110" s="22">
        <v>0.0</v>
      </c>
      <c r="I110" s="22">
        <v>328.0</v>
      </c>
      <c r="J110" s="22">
        <v>174.0</v>
      </c>
      <c r="K110" s="22">
        <v>128.0</v>
      </c>
      <c r="L110" s="22" t="s">
        <v>29</v>
      </c>
      <c r="M110" s="22">
        <v>32.0</v>
      </c>
      <c r="N110" s="22">
        <v>149.0</v>
      </c>
      <c r="O110" s="22">
        <v>44.0</v>
      </c>
      <c r="P110" s="22">
        <v>127.0</v>
      </c>
      <c r="Q110" s="22">
        <v>8.0</v>
      </c>
      <c r="R110" s="22">
        <v>0.0</v>
      </c>
      <c r="S110" s="22">
        <v>0.0</v>
      </c>
      <c r="T110" s="24" t="s">
        <v>104</v>
      </c>
      <c r="U110" s="25" t="s">
        <v>53</v>
      </c>
      <c r="V110" s="26" t="s">
        <v>54</v>
      </c>
      <c r="W110" s="76">
        <v>0.052083333333333336</v>
      </c>
      <c r="X110" s="28" t="s">
        <v>115</v>
      </c>
      <c r="Y110" s="29"/>
    </row>
    <row r="111" ht="15.75" customHeight="1">
      <c r="A111" s="30">
        <v>104.1</v>
      </c>
      <c r="B111" s="31" t="s">
        <v>52</v>
      </c>
      <c r="C111" s="32" t="str">
        <f>HYPERLINK("https://azurlane.koumakan.jp/Leander#Retrofit","Leander (R)")</f>
        <v>Leander (R)</v>
      </c>
      <c r="D111" s="33" t="s">
        <v>36</v>
      </c>
      <c r="E111" s="33">
        <v>3562.0</v>
      </c>
      <c r="F111" s="33">
        <v>198.0</v>
      </c>
      <c r="G111" s="33">
        <v>309.0</v>
      </c>
      <c r="H111" s="33">
        <v>0.0</v>
      </c>
      <c r="I111" s="33">
        <v>328.0</v>
      </c>
      <c r="J111" s="33">
        <v>179.0</v>
      </c>
      <c r="K111" s="33">
        <v>128.0</v>
      </c>
      <c r="L111" s="33" t="s">
        <v>29</v>
      </c>
      <c r="M111" s="33">
        <v>32.0</v>
      </c>
      <c r="N111" s="33">
        <v>149.0</v>
      </c>
      <c r="O111" s="34">
        <v>44.0</v>
      </c>
      <c r="P111" s="33">
        <v>127.0</v>
      </c>
      <c r="Q111" s="33">
        <v>8.0</v>
      </c>
      <c r="R111" s="33">
        <v>0.0</v>
      </c>
      <c r="S111" s="33">
        <v>0.0</v>
      </c>
      <c r="T111" s="35" t="s">
        <v>104</v>
      </c>
      <c r="U111" s="55" t="s">
        <v>42</v>
      </c>
      <c r="W111" s="56"/>
      <c r="X111" s="53"/>
      <c r="Y111" s="40"/>
    </row>
    <row r="112" ht="15.75" customHeight="1">
      <c r="A112" s="19">
        <v>105.0</v>
      </c>
      <c r="B112" s="20" t="s">
        <v>52</v>
      </c>
      <c r="C112" s="21" t="str">
        <f>HYPERLINK("https://azurlane.koumakan.jp/Achilles","Achilles")</f>
        <v>Achilles</v>
      </c>
      <c r="D112" s="22" t="s">
        <v>36</v>
      </c>
      <c r="E112" s="22">
        <v>3044.0</v>
      </c>
      <c r="F112" s="22">
        <v>166.0</v>
      </c>
      <c r="G112" s="22">
        <v>328.0</v>
      </c>
      <c r="H112" s="22">
        <v>0.0</v>
      </c>
      <c r="I112" s="22">
        <v>301.0</v>
      </c>
      <c r="J112" s="22">
        <v>177.0</v>
      </c>
      <c r="K112" s="22">
        <v>114.0</v>
      </c>
      <c r="L112" s="22" t="s">
        <v>29</v>
      </c>
      <c r="M112" s="22">
        <v>32.0</v>
      </c>
      <c r="N112" s="22">
        <v>152.0</v>
      </c>
      <c r="O112" s="22">
        <v>54.0</v>
      </c>
      <c r="P112" s="22">
        <v>130.0</v>
      </c>
      <c r="Q112" s="22">
        <v>9.0</v>
      </c>
      <c r="R112" s="22">
        <v>0.0</v>
      </c>
      <c r="S112" s="22">
        <v>0.0</v>
      </c>
      <c r="T112" s="24" t="s">
        <v>104</v>
      </c>
      <c r="U112" s="25" t="s">
        <v>96</v>
      </c>
      <c r="V112" s="75" t="s">
        <v>29</v>
      </c>
      <c r="W112" s="76">
        <v>0.052083333333333336</v>
      </c>
      <c r="X112" s="54"/>
      <c r="Y112" s="29"/>
    </row>
    <row r="113" ht="15.75" customHeight="1">
      <c r="A113" s="30">
        <v>105.1</v>
      </c>
      <c r="B113" s="31" t="s">
        <v>52</v>
      </c>
      <c r="C113" s="32" t="str">
        <f>HYPERLINK("https://azurlane.koumakan.jp/Achilles#Retrofit","Achilles (R)")</f>
        <v>Achilles (R)</v>
      </c>
      <c r="D113" s="33" t="s">
        <v>28</v>
      </c>
      <c r="E113" s="33">
        <v>3284.0</v>
      </c>
      <c r="F113" s="33">
        <v>216.0</v>
      </c>
      <c r="G113" s="33">
        <v>363.0</v>
      </c>
      <c r="H113" s="33">
        <v>0.0</v>
      </c>
      <c r="I113" s="33">
        <v>301.0</v>
      </c>
      <c r="J113" s="33">
        <v>182.0</v>
      </c>
      <c r="K113" s="33">
        <v>114.0</v>
      </c>
      <c r="L113" s="33" t="s">
        <v>29</v>
      </c>
      <c r="M113" s="33">
        <v>32.0</v>
      </c>
      <c r="N113" s="33">
        <v>152.0</v>
      </c>
      <c r="O113" s="34">
        <v>54.0</v>
      </c>
      <c r="P113" s="33">
        <v>130.0</v>
      </c>
      <c r="Q113" s="33">
        <v>9.0</v>
      </c>
      <c r="R113" s="33">
        <v>0.0</v>
      </c>
      <c r="S113" s="33">
        <v>0.0</v>
      </c>
      <c r="T113" s="35" t="s">
        <v>104</v>
      </c>
      <c r="U113" s="55" t="s">
        <v>42</v>
      </c>
      <c r="W113" s="56"/>
      <c r="X113" s="53"/>
      <c r="Y113" s="40"/>
    </row>
    <row r="114" ht="15.75" customHeight="1">
      <c r="A114" s="19">
        <v>106.0</v>
      </c>
      <c r="B114" s="20" t="s">
        <v>52</v>
      </c>
      <c r="C114" s="21" t="str">
        <f>HYPERLINK("https://azurlane.koumakan.jp/Ajax","Ajax")</f>
        <v>Ajax</v>
      </c>
      <c r="D114" s="22" t="s">
        <v>36</v>
      </c>
      <c r="E114" s="22">
        <v>3044.0</v>
      </c>
      <c r="F114" s="22">
        <v>166.0</v>
      </c>
      <c r="G114" s="22">
        <v>328.0</v>
      </c>
      <c r="H114" s="22">
        <v>0.0</v>
      </c>
      <c r="I114" s="22">
        <v>301.0</v>
      </c>
      <c r="J114" s="22">
        <v>177.0</v>
      </c>
      <c r="K114" s="22">
        <v>114.0</v>
      </c>
      <c r="L114" s="22" t="s">
        <v>29</v>
      </c>
      <c r="M114" s="22">
        <v>32.0</v>
      </c>
      <c r="N114" s="22">
        <v>152.0</v>
      </c>
      <c r="O114" s="22">
        <v>74.0</v>
      </c>
      <c r="P114" s="22">
        <v>130.0</v>
      </c>
      <c r="Q114" s="22">
        <v>9.0</v>
      </c>
      <c r="R114" s="22">
        <v>0.0</v>
      </c>
      <c r="S114" s="22">
        <v>0.0</v>
      </c>
      <c r="T114" s="24" t="s">
        <v>104</v>
      </c>
      <c r="U114" s="25" t="s">
        <v>96</v>
      </c>
      <c r="V114" s="75" t="s">
        <v>54</v>
      </c>
      <c r="W114" s="76">
        <v>0.052083333333333336</v>
      </c>
      <c r="X114" s="54"/>
      <c r="Y114" s="29"/>
    </row>
    <row r="115" ht="15.75" customHeight="1">
      <c r="A115" s="30">
        <v>106.1</v>
      </c>
      <c r="B115" s="31" t="s">
        <v>52</v>
      </c>
      <c r="C115" s="32" t="str">
        <f>HYPERLINK("https://azurlane.koumakan.jp/Ajax#Retrofit","Ajax (R)")</f>
        <v>Ajax (R)</v>
      </c>
      <c r="D115" s="33" t="s">
        <v>28</v>
      </c>
      <c r="E115" s="33">
        <v>3284.0</v>
      </c>
      <c r="F115" s="33">
        <v>216.0</v>
      </c>
      <c r="G115" s="33">
        <v>363.0</v>
      </c>
      <c r="H115" s="33">
        <v>0.0</v>
      </c>
      <c r="I115" s="33">
        <v>301.0</v>
      </c>
      <c r="J115" s="33">
        <v>182.0</v>
      </c>
      <c r="K115" s="33">
        <v>114.0</v>
      </c>
      <c r="L115" s="33" t="s">
        <v>29</v>
      </c>
      <c r="M115" s="33">
        <v>32.0</v>
      </c>
      <c r="N115" s="33">
        <v>152.0</v>
      </c>
      <c r="O115" s="34">
        <v>74.0</v>
      </c>
      <c r="P115" s="33">
        <v>130.0</v>
      </c>
      <c r="Q115" s="33">
        <v>9.0</v>
      </c>
      <c r="R115" s="33">
        <v>0.0</v>
      </c>
      <c r="S115" s="33">
        <v>0.0</v>
      </c>
      <c r="T115" s="35" t="s">
        <v>104</v>
      </c>
      <c r="U115" s="55" t="s">
        <v>42</v>
      </c>
      <c r="W115" s="56"/>
      <c r="X115" s="53"/>
      <c r="Y115" s="40"/>
    </row>
    <row r="116" ht="15.75" customHeight="1">
      <c r="A116" s="41">
        <v>107.0</v>
      </c>
      <c r="B116" s="42" t="s">
        <v>52</v>
      </c>
      <c r="C116" s="43" t="str">
        <f>HYPERLINK("https://azurlane.koumakan.jp/Dido","Dido")</f>
        <v>Dido</v>
      </c>
      <c r="D116" s="24" t="s">
        <v>32</v>
      </c>
      <c r="E116" s="24">
        <v>3831.0</v>
      </c>
      <c r="F116" s="24">
        <v>160.0</v>
      </c>
      <c r="G116" s="24">
        <v>180.0</v>
      </c>
      <c r="H116" s="24">
        <v>0.0</v>
      </c>
      <c r="I116" s="24">
        <v>396.0</v>
      </c>
      <c r="J116" s="24">
        <v>196.0</v>
      </c>
      <c r="K116" s="24">
        <v>114.0</v>
      </c>
      <c r="L116" s="24" t="s">
        <v>29</v>
      </c>
      <c r="M116" s="24">
        <v>32.0</v>
      </c>
      <c r="N116" s="24">
        <v>164.0</v>
      </c>
      <c r="O116" s="24">
        <v>85.0</v>
      </c>
      <c r="P116" s="24">
        <v>171.0</v>
      </c>
      <c r="Q116" s="24">
        <v>11.0</v>
      </c>
      <c r="R116" s="24">
        <v>0.0</v>
      </c>
      <c r="S116" s="24">
        <v>0.0</v>
      </c>
      <c r="T116" s="24" t="s">
        <v>104</v>
      </c>
      <c r="U116" s="45"/>
      <c r="V116" s="24" t="s">
        <v>76</v>
      </c>
      <c r="W116" s="46"/>
      <c r="X116" s="67" t="s">
        <v>116</v>
      </c>
      <c r="Y116" s="48"/>
    </row>
    <row r="117" ht="15.75" customHeight="1">
      <c r="A117" s="68">
        <v>110.0</v>
      </c>
      <c r="B117" s="69" t="s">
        <v>52</v>
      </c>
      <c r="C117" s="80" t="str">
        <f>HYPERLINK("https://azurlane.koumakan.jp/Southampton","Southampton")</f>
        <v>Southampton</v>
      </c>
      <c r="D117" s="35" t="s">
        <v>36</v>
      </c>
      <c r="E117" s="35">
        <v>3773.0</v>
      </c>
      <c r="F117" s="35">
        <v>153.0</v>
      </c>
      <c r="G117" s="35">
        <v>276.0</v>
      </c>
      <c r="H117" s="35">
        <v>0.0</v>
      </c>
      <c r="I117" s="35">
        <v>314.0</v>
      </c>
      <c r="J117" s="35">
        <v>174.0</v>
      </c>
      <c r="K117" s="35">
        <v>119.0</v>
      </c>
      <c r="L117" s="35" t="s">
        <v>29</v>
      </c>
      <c r="M117" s="35">
        <v>32.0</v>
      </c>
      <c r="N117" s="35">
        <v>161.0</v>
      </c>
      <c r="O117" s="35">
        <v>32.0</v>
      </c>
      <c r="P117" s="35">
        <v>105.0</v>
      </c>
      <c r="Q117" s="35">
        <v>9.0</v>
      </c>
      <c r="R117" s="35">
        <v>0.0</v>
      </c>
      <c r="S117" s="35">
        <v>0.0</v>
      </c>
      <c r="T117" s="35" t="s">
        <v>104</v>
      </c>
      <c r="U117" s="71"/>
      <c r="V117" s="81" t="s">
        <v>29</v>
      </c>
      <c r="W117" s="82">
        <v>0.059027777777777776</v>
      </c>
      <c r="X117" s="73" t="s">
        <v>117</v>
      </c>
      <c r="Y117" s="74"/>
    </row>
    <row r="118" ht="15.75" customHeight="1">
      <c r="A118" s="19">
        <v>111.0</v>
      </c>
      <c r="B118" s="20" t="s">
        <v>52</v>
      </c>
      <c r="C118" s="21" t="str">
        <f>HYPERLINK("https://azurlane.koumakan.jp/Sheffield","Sheffield")</f>
        <v>Sheffield</v>
      </c>
      <c r="D118" s="22" t="s">
        <v>28</v>
      </c>
      <c r="E118" s="22">
        <v>3884.0</v>
      </c>
      <c r="F118" s="22">
        <v>158.0</v>
      </c>
      <c r="G118" s="22">
        <v>299.0</v>
      </c>
      <c r="H118" s="22">
        <v>0.0</v>
      </c>
      <c r="I118" s="22">
        <v>358.0</v>
      </c>
      <c r="J118" s="22">
        <v>185.0</v>
      </c>
      <c r="K118" s="22">
        <v>119.0</v>
      </c>
      <c r="L118" s="22" t="s">
        <v>29</v>
      </c>
      <c r="M118" s="22">
        <v>32.0</v>
      </c>
      <c r="N118" s="22">
        <v>164.0</v>
      </c>
      <c r="O118" s="22">
        <v>78.0</v>
      </c>
      <c r="P118" s="22">
        <v>89.0</v>
      </c>
      <c r="Q118" s="22">
        <v>10.0</v>
      </c>
      <c r="R118" s="22">
        <v>0.0</v>
      </c>
      <c r="S118" s="22">
        <v>0.0</v>
      </c>
      <c r="T118" s="24" t="s">
        <v>104</v>
      </c>
      <c r="U118" s="58"/>
      <c r="V118" s="26" t="s">
        <v>29</v>
      </c>
      <c r="W118" s="27">
        <v>0.059027777777777776</v>
      </c>
      <c r="X118" s="28" t="s">
        <v>118</v>
      </c>
      <c r="Y118" s="29"/>
    </row>
    <row r="119" ht="15.75" customHeight="1">
      <c r="A119" s="68">
        <v>113.0</v>
      </c>
      <c r="B119" s="69" t="s">
        <v>52</v>
      </c>
      <c r="C119" s="80" t="str">
        <f>HYPERLINK("https://azurlane.koumakan.jp/Gloucester","Gloucester")</f>
        <v>Gloucester</v>
      </c>
      <c r="D119" s="35" t="s">
        <v>28</v>
      </c>
      <c r="E119" s="35">
        <v>3875.0</v>
      </c>
      <c r="F119" s="35">
        <v>158.0</v>
      </c>
      <c r="G119" s="35">
        <v>284.0</v>
      </c>
      <c r="H119" s="35">
        <v>0.0</v>
      </c>
      <c r="I119" s="35">
        <v>324.0</v>
      </c>
      <c r="J119" s="35">
        <v>178.0</v>
      </c>
      <c r="K119" s="35">
        <v>119.0</v>
      </c>
      <c r="L119" s="35" t="s">
        <v>29</v>
      </c>
      <c r="M119" s="35">
        <v>32.0</v>
      </c>
      <c r="N119" s="35">
        <v>161.0</v>
      </c>
      <c r="O119" s="35">
        <v>45.0</v>
      </c>
      <c r="P119" s="35">
        <v>143.0</v>
      </c>
      <c r="Q119" s="35">
        <v>11.0</v>
      </c>
      <c r="R119" s="35">
        <v>0.0</v>
      </c>
      <c r="S119" s="35">
        <v>0.0</v>
      </c>
      <c r="T119" s="35" t="s">
        <v>104</v>
      </c>
      <c r="U119" s="71"/>
      <c r="V119" s="81" t="s">
        <v>76</v>
      </c>
      <c r="W119" s="83"/>
      <c r="X119" s="73" t="s">
        <v>116</v>
      </c>
      <c r="Y119" s="74"/>
    </row>
    <row r="120" ht="15.75" customHeight="1">
      <c r="A120" s="19">
        <v>114.0</v>
      </c>
      <c r="B120" s="20" t="s">
        <v>52</v>
      </c>
      <c r="C120" s="21" t="str">
        <f>HYPERLINK("https://azurlane.koumakan.jp/Edinburgh","Edinburgh")</f>
        <v>Edinburgh</v>
      </c>
      <c r="D120" s="22" t="s">
        <v>28</v>
      </c>
      <c r="E120" s="22">
        <v>4588.0</v>
      </c>
      <c r="F120" s="22">
        <v>159.0</v>
      </c>
      <c r="G120" s="22">
        <v>284.0</v>
      </c>
      <c r="H120" s="22">
        <v>0.0</v>
      </c>
      <c r="I120" s="22">
        <v>320.0</v>
      </c>
      <c r="J120" s="22">
        <v>178.0</v>
      </c>
      <c r="K120" s="22">
        <v>119.0</v>
      </c>
      <c r="L120" s="22" t="s">
        <v>29</v>
      </c>
      <c r="M120" s="22">
        <v>32.0</v>
      </c>
      <c r="N120" s="22">
        <v>164.0</v>
      </c>
      <c r="O120" s="22">
        <v>37.0</v>
      </c>
      <c r="P120" s="22">
        <v>102.0</v>
      </c>
      <c r="Q120" s="22">
        <v>10.0</v>
      </c>
      <c r="R120" s="22">
        <v>0.0</v>
      </c>
      <c r="S120" s="22">
        <v>0.0</v>
      </c>
      <c r="T120" s="24" t="s">
        <v>104</v>
      </c>
      <c r="U120" s="58"/>
      <c r="V120" s="26" t="s">
        <v>49</v>
      </c>
      <c r="W120" s="27">
        <v>0.059027777777777776</v>
      </c>
      <c r="X120" s="28" t="s">
        <v>119</v>
      </c>
      <c r="Y120" s="29"/>
    </row>
    <row r="121" ht="15.75" customHeight="1">
      <c r="A121" s="30">
        <v>115.0</v>
      </c>
      <c r="B121" s="31" t="s">
        <v>52</v>
      </c>
      <c r="C121" s="32" t="str">
        <f>HYPERLINK("https://azurlane.koumakan.jp/Belfast","Belfast")</f>
        <v>Belfast</v>
      </c>
      <c r="D121" s="33" t="s">
        <v>32</v>
      </c>
      <c r="E121" s="33">
        <v>4062.0</v>
      </c>
      <c r="F121" s="33">
        <v>181.0</v>
      </c>
      <c r="G121" s="33">
        <v>344.0</v>
      </c>
      <c r="H121" s="33">
        <v>0.0</v>
      </c>
      <c r="I121" s="33">
        <v>299.0</v>
      </c>
      <c r="J121" s="33">
        <v>185.0</v>
      </c>
      <c r="K121" s="33">
        <v>113.0</v>
      </c>
      <c r="L121" s="33" t="s">
        <v>29</v>
      </c>
      <c r="M121" s="33">
        <v>32.0</v>
      </c>
      <c r="N121" s="33">
        <v>164.0</v>
      </c>
      <c r="O121" s="33">
        <v>88.0</v>
      </c>
      <c r="P121" s="33">
        <v>147.0</v>
      </c>
      <c r="Q121" s="33">
        <v>11.0</v>
      </c>
      <c r="R121" s="33">
        <v>0.0</v>
      </c>
      <c r="S121" s="33">
        <v>0.0</v>
      </c>
      <c r="T121" s="35" t="s">
        <v>104</v>
      </c>
      <c r="U121" s="57"/>
      <c r="V121" s="37" t="s">
        <v>60</v>
      </c>
      <c r="W121" s="38">
        <v>0.059027777777777776</v>
      </c>
      <c r="X121" s="39" t="s">
        <v>120</v>
      </c>
      <c r="Y121" s="40"/>
    </row>
    <row r="122" ht="15.75" customHeight="1">
      <c r="A122" s="19">
        <v>116.0</v>
      </c>
      <c r="B122" s="20" t="s">
        <v>52</v>
      </c>
      <c r="C122" s="21" t="str">
        <f>HYPERLINK("https://azurlane.koumakan.jp/Arethusa","Arethusa")</f>
        <v>Arethusa</v>
      </c>
      <c r="D122" s="22" t="s">
        <v>36</v>
      </c>
      <c r="E122" s="22">
        <v>2896.0</v>
      </c>
      <c r="F122" s="22">
        <v>158.0</v>
      </c>
      <c r="G122" s="22">
        <v>274.0</v>
      </c>
      <c r="H122" s="22">
        <v>0.0</v>
      </c>
      <c r="I122" s="22">
        <v>331.0</v>
      </c>
      <c r="J122" s="22">
        <v>190.0</v>
      </c>
      <c r="K122" s="22">
        <v>119.0</v>
      </c>
      <c r="L122" s="22" t="s">
        <v>29</v>
      </c>
      <c r="M122" s="22">
        <v>32.0</v>
      </c>
      <c r="N122" s="22">
        <v>175.0</v>
      </c>
      <c r="O122" s="22">
        <v>69.0</v>
      </c>
      <c r="P122" s="22">
        <v>117.0</v>
      </c>
      <c r="Q122" s="22">
        <v>9.0</v>
      </c>
      <c r="R122" s="22">
        <v>0.0</v>
      </c>
      <c r="S122" s="22">
        <v>0.0</v>
      </c>
      <c r="T122" s="24" t="s">
        <v>104</v>
      </c>
      <c r="U122" s="25" t="s">
        <v>70</v>
      </c>
      <c r="V122" s="26" t="s">
        <v>54</v>
      </c>
      <c r="W122" s="27">
        <v>0.05555555555555555</v>
      </c>
      <c r="X122" s="54"/>
      <c r="Y122" s="29"/>
    </row>
    <row r="123" ht="15.75" customHeight="1">
      <c r="A123" s="30">
        <v>117.0</v>
      </c>
      <c r="B123" s="31" t="s">
        <v>52</v>
      </c>
      <c r="C123" s="32" t="str">
        <f>HYPERLINK("https://azurlane.koumakan.jp/Galatea","Galatea")</f>
        <v>Galatea</v>
      </c>
      <c r="D123" s="33" t="s">
        <v>36</v>
      </c>
      <c r="E123" s="33">
        <v>2896.0</v>
      </c>
      <c r="F123" s="33">
        <v>158.0</v>
      </c>
      <c r="G123" s="33">
        <v>274.0</v>
      </c>
      <c r="H123" s="33">
        <v>0.0</v>
      </c>
      <c r="I123" s="33">
        <v>331.0</v>
      </c>
      <c r="J123" s="33">
        <v>190.0</v>
      </c>
      <c r="K123" s="33">
        <v>119.0</v>
      </c>
      <c r="L123" s="33" t="s">
        <v>29</v>
      </c>
      <c r="M123" s="33">
        <v>32.0</v>
      </c>
      <c r="N123" s="33">
        <v>175.0</v>
      </c>
      <c r="O123" s="33">
        <v>26.0</v>
      </c>
      <c r="P123" s="33">
        <v>94.0</v>
      </c>
      <c r="Q123" s="33">
        <v>9.0</v>
      </c>
      <c r="R123" s="33">
        <v>0.0</v>
      </c>
      <c r="S123" s="33">
        <v>0.0</v>
      </c>
      <c r="T123" s="35" t="s">
        <v>104</v>
      </c>
      <c r="U123" s="36" t="s">
        <v>70</v>
      </c>
      <c r="V123" s="37" t="s">
        <v>29</v>
      </c>
      <c r="W123" s="38">
        <v>0.05555555555555555</v>
      </c>
      <c r="X123" s="53"/>
      <c r="Y123" s="40"/>
    </row>
    <row r="124" ht="15.75" customHeight="1">
      <c r="A124" s="19">
        <v>118.0</v>
      </c>
      <c r="B124" s="20" t="s">
        <v>52</v>
      </c>
      <c r="C124" s="21" t="str">
        <f>HYPERLINK("https://azurlane.koumakan.jp/Aurora","Aurora")</f>
        <v>Aurora</v>
      </c>
      <c r="D124" s="22" t="s">
        <v>28</v>
      </c>
      <c r="E124" s="22">
        <v>2982.0</v>
      </c>
      <c r="F124" s="22">
        <v>164.0</v>
      </c>
      <c r="G124" s="22">
        <v>282.0</v>
      </c>
      <c r="H124" s="22">
        <v>0.0</v>
      </c>
      <c r="I124" s="22">
        <v>341.0</v>
      </c>
      <c r="J124" s="22">
        <v>197.0</v>
      </c>
      <c r="K124" s="22">
        <v>119.0</v>
      </c>
      <c r="L124" s="22" t="s">
        <v>29</v>
      </c>
      <c r="M124" s="22">
        <v>32.0</v>
      </c>
      <c r="N124" s="22">
        <v>176.0</v>
      </c>
      <c r="O124" s="22">
        <v>84.0</v>
      </c>
      <c r="P124" s="22">
        <v>110.0</v>
      </c>
      <c r="Q124" s="22">
        <v>10.0</v>
      </c>
      <c r="R124" s="22">
        <v>0.0</v>
      </c>
      <c r="S124" s="22">
        <v>0.0</v>
      </c>
      <c r="T124" s="24" t="s">
        <v>104</v>
      </c>
      <c r="U124" s="58"/>
      <c r="V124" s="26" t="s">
        <v>29</v>
      </c>
      <c r="W124" s="76">
        <v>0.05555555555555555</v>
      </c>
      <c r="X124" s="28"/>
      <c r="Y124" s="29"/>
    </row>
    <row r="125" ht="15.75" customHeight="1">
      <c r="A125" s="30">
        <v>119.0</v>
      </c>
      <c r="B125" s="31" t="s">
        <v>66</v>
      </c>
      <c r="C125" s="32" t="str">
        <f>HYPERLINK("https://azurlane.koumakan.jp/London","London")</f>
        <v>London</v>
      </c>
      <c r="D125" s="33" t="s">
        <v>28</v>
      </c>
      <c r="E125" s="33">
        <v>3644.0</v>
      </c>
      <c r="F125" s="33">
        <v>226.0</v>
      </c>
      <c r="G125" s="33">
        <v>226.0</v>
      </c>
      <c r="H125" s="33">
        <v>0.0</v>
      </c>
      <c r="I125" s="33">
        <v>217.0</v>
      </c>
      <c r="J125" s="33">
        <v>167.0</v>
      </c>
      <c r="K125" s="33">
        <v>69.0</v>
      </c>
      <c r="L125" s="33" t="s">
        <v>29</v>
      </c>
      <c r="M125" s="33">
        <v>25.0</v>
      </c>
      <c r="N125" s="33">
        <v>120.0</v>
      </c>
      <c r="O125" s="33">
        <v>62.0</v>
      </c>
      <c r="P125" s="33">
        <v>0.0</v>
      </c>
      <c r="Q125" s="33">
        <v>11.0</v>
      </c>
      <c r="R125" s="33">
        <v>0.0</v>
      </c>
      <c r="S125" s="33">
        <v>0.0</v>
      </c>
      <c r="T125" s="35" t="s">
        <v>104</v>
      </c>
      <c r="U125" s="36" t="s">
        <v>67</v>
      </c>
      <c r="V125" s="37" t="s">
        <v>68</v>
      </c>
      <c r="W125" s="62">
        <v>0.0625</v>
      </c>
      <c r="X125" s="39" t="s">
        <v>121</v>
      </c>
      <c r="Y125" s="40"/>
    </row>
    <row r="126" ht="15.75" customHeight="1">
      <c r="A126" s="41">
        <v>119.1</v>
      </c>
      <c r="B126" s="42" t="s">
        <v>66</v>
      </c>
      <c r="C126" s="43" t="str">
        <f>HYPERLINK("https://azurlane.koumakan.jp/London#Retrofit","London (R)")</f>
        <v>London (R)</v>
      </c>
      <c r="D126" s="24" t="s">
        <v>32</v>
      </c>
      <c r="E126" s="24">
        <v>3924.0</v>
      </c>
      <c r="F126" s="24">
        <v>236.0</v>
      </c>
      <c r="G126" s="24">
        <v>226.0</v>
      </c>
      <c r="H126" s="24">
        <v>0.0</v>
      </c>
      <c r="I126" s="24">
        <v>302.0</v>
      </c>
      <c r="J126" s="24">
        <v>167.0</v>
      </c>
      <c r="K126" s="24">
        <v>84.0</v>
      </c>
      <c r="L126" s="24" t="s">
        <v>29</v>
      </c>
      <c r="M126" s="24">
        <v>25.0</v>
      </c>
      <c r="N126" s="24">
        <v>140.0</v>
      </c>
      <c r="O126" s="24">
        <v>62.0</v>
      </c>
      <c r="P126" s="24">
        <v>0.0</v>
      </c>
      <c r="Q126" s="24">
        <v>11.0</v>
      </c>
      <c r="R126" s="24">
        <v>0.0</v>
      </c>
      <c r="S126" s="24">
        <v>0.0</v>
      </c>
      <c r="T126" s="24" t="s">
        <v>104</v>
      </c>
      <c r="U126" s="84" t="s">
        <v>42</v>
      </c>
      <c r="W126" s="60"/>
      <c r="X126" s="67" t="s">
        <v>122</v>
      </c>
      <c r="Y126" s="48"/>
    </row>
    <row r="127" ht="15.75" customHeight="1">
      <c r="A127" s="30">
        <v>120.0</v>
      </c>
      <c r="B127" s="31" t="s">
        <v>66</v>
      </c>
      <c r="C127" s="32" t="str">
        <f>HYPERLINK("https://azurlane.koumakan.jp/Shropshire","Shropshire")</f>
        <v>Shropshire</v>
      </c>
      <c r="D127" s="33" t="s">
        <v>36</v>
      </c>
      <c r="E127" s="33">
        <v>3542.0</v>
      </c>
      <c r="F127" s="33">
        <v>221.0</v>
      </c>
      <c r="G127" s="33">
        <v>218.0</v>
      </c>
      <c r="H127" s="33">
        <v>0.0</v>
      </c>
      <c r="I127" s="33">
        <v>212.0</v>
      </c>
      <c r="J127" s="33">
        <v>162.0</v>
      </c>
      <c r="K127" s="33">
        <v>69.0</v>
      </c>
      <c r="L127" s="33" t="s">
        <v>29</v>
      </c>
      <c r="M127" s="33">
        <v>25.0</v>
      </c>
      <c r="N127" s="33">
        <v>120.0</v>
      </c>
      <c r="O127" s="33">
        <v>75.0</v>
      </c>
      <c r="P127" s="33">
        <v>0.0</v>
      </c>
      <c r="Q127" s="33">
        <v>10.0</v>
      </c>
      <c r="R127" s="33">
        <v>0.0</v>
      </c>
      <c r="S127" s="33">
        <v>0.0</v>
      </c>
      <c r="T127" s="35" t="s">
        <v>104</v>
      </c>
      <c r="U127" s="36" t="s">
        <v>123</v>
      </c>
      <c r="V127" s="37" t="s">
        <v>68</v>
      </c>
      <c r="W127" s="38">
        <v>0.0625</v>
      </c>
      <c r="X127" s="53"/>
      <c r="Y127" s="40"/>
    </row>
    <row r="128" ht="15.75" customHeight="1">
      <c r="A128" s="19">
        <v>121.0</v>
      </c>
      <c r="B128" s="20" t="s">
        <v>66</v>
      </c>
      <c r="C128" s="21" t="str">
        <f>HYPERLINK("https://azurlane.koumakan.jp/Kent","Kent")</f>
        <v>Kent</v>
      </c>
      <c r="D128" s="22" t="s">
        <v>36</v>
      </c>
      <c r="E128" s="22">
        <v>3589.0</v>
      </c>
      <c r="F128" s="22">
        <v>221.0</v>
      </c>
      <c r="G128" s="22">
        <v>218.0</v>
      </c>
      <c r="H128" s="22">
        <v>0.0</v>
      </c>
      <c r="I128" s="22">
        <v>212.0</v>
      </c>
      <c r="J128" s="22">
        <v>162.0</v>
      </c>
      <c r="K128" s="22">
        <v>67.0</v>
      </c>
      <c r="L128" s="22" t="s">
        <v>29</v>
      </c>
      <c r="M128" s="22">
        <v>25.0</v>
      </c>
      <c r="N128" s="22">
        <v>120.0</v>
      </c>
      <c r="O128" s="22">
        <v>71.0</v>
      </c>
      <c r="P128" s="22">
        <v>0.0</v>
      </c>
      <c r="Q128" s="22">
        <v>10.0</v>
      </c>
      <c r="R128" s="22">
        <v>0.0</v>
      </c>
      <c r="S128" s="22">
        <v>0.0</v>
      </c>
      <c r="T128" s="24" t="s">
        <v>104</v>
      </c>
      <c r="U128" s="25" t="s">
        <v>96</v>
      </c>
      <c r="V128" s="26" t="s">
        <v>68</v>
      </c>
      <c r="W128" s="76">
        <v>0.0625</v>
      </c>
      <c r="X128" s="54"/>
      <c r="Y128" s="29"/>
    </row>
    <row r="129" ht="15.75" customHeight="1">
      <c r="A129" s="30">
        <v>122.0</v>
      </c>
      <c r="B129" s="31" t="s">
        <v>66</v>
      </c>
      <c r="C129" s="32" t="str">
        <f>HYPERLINK("https://azurlane.koumakan.jp/Suffolk","Suffolk")</f>
        <v>Suffolk</v>
      </c>
      <c r="D129" s="33" t="s">
        <v>36</v>
      </c>
      <c r="E129" s="33">
        <v>3554.0</v>
      </c>
      <c r="F129" s="33">
        <v>221.0</v>
      </c>
      <c r="G129" s="33">
        <v>218.0</v>
      </c>
      <c r="H129" s="33">
        <v>0.0</v>
      </c>
      <c r="I129" s="33">
        <v>212.0</v>
      </c>
      <c r="J129" s="33">
        <v>162.0</v>
      </c>
      <c r="K129" s="33">
        <v>67.0</v>
      </c>
      <c r="L129" s="33" t="s">
        <v>29</v>
      </c>
      <c r="M129" s="33">
        <v>25.0</v>
      </c>
      <c r="N129" s="33">
        <v>120.0</v>
      </c>
      <c r="O129" s="33">
        <v>72.0</v>
      </c>
      <c r="P129" s="33">
        <v>0.0</v>
      </c>
      <c r="Q129" s="33">
        <v>10.0</v>
      </c>
      <c r="R129" s="33">
        <v>0.0</v>
      </c>
      <c r="S129" s="33">
        <v>0.0</v>
      </c>
      <c r="T129" s="35" t="s">
        <v>104</v>
      </c>
      <c r="U129" s="36" t="s">
        <v>96</v>
      </c>
      <c r="V129" s="37" t="s">
        <v>68</v>
      </c>
      <c r="W129" s="62">
        <v>0.0625</v>
      </c>
      <c r="X129" s="39"/>
      <c r="Y129" s="40"/>
    </row>
    <row r="130" ht="15.75" customHeight="1">
      <c r="A130" s="19">
        <v>122.1</v>
      </c>
      <c r="B130" s="20" t="s">
        <v>66</v>
      </c>
      <c r="C130" s="21" t="str">
        <f>HYPERLINK("https://azurlane.koumakan.jp/Suffolk#Retrofit","Suffolk (R)")</f>
        <v>Suffolk (R)</v>
      </c>
      <c r="D130" s="22" t="s">
        <v>28</v>
      </c>
      <c r="E130" s="22">
        <v>3834.0</v>
      </c>
      <c r="F130" s="22">
        <v>276.0</v>
      </c>
      <c r="G130" s="22">
        <v>248.0</v>
      </c>
      <c r="H130" s="22">
        <v>0.0</v>
      </c>
      <c r="I130" s="22">
        <v>212.0</v>
      </c>
      <c r="J130" s="22">
        <v>167.0</v>
      </c>
      <c r="K130" s="22">
        <v>67.0</v>
      </c>
      <c r="L130" s="22" t="s">
        <v>29</v>
      </c>
      <c r="M130" s="22">
        <v>25.0</v>
      </c>
      <c r="N130" s="22">
        <v>120.0</v>
      </c>
      <c r="O130" s="23">
        <v>72.0</v>
      </c>
      <c r="P130" s="22">
        <v>0.0</v>
      </c>
      <c r="Q130" s="22">
        <v>10.0</v>
      </c>
      <c r="R130" s="22">
        <v>0.0</v>
      </c>
      <c r="S130" s="22">
        <v>0.0</v>
      </c>
      <c r="T130" s="24" t="s">
        <v>104</v>
      </c>
      <c r="U130" s="59" t="s">
        <v>42</v>
      </c>
      <c r="W130" s="60"/>
      <c r="X130" s="54"/>
      <c r="Y130" s="29"/>
    </row>
    <row r="131" ht="15.75" customHeight="1">
      <c r="A131" s="30">
        <v>123.0</v>
      </c>
      <c r="B131" s="31" t="s">
        <v>66</v>
      </c>
      <c r="C131" s="32" t="str">
        <f>HYPERLINK("https://azurlane.koumakan.jp/Norfolk","Norfolk")</f>
        <v>Norfolk</v>
      </c>
      <c r="D131" s="33" t="s">
        <v>36</v>
      </c>
      <c r="E131" s="33">
        <v>4727.0</v>
      </c>
      <c r="F131" s="33">
        <v>180.0</v>
      </c>
      <c r="G131" s="33">
        <v>143.0</v>
      </c>
      <c r="H131" s="33">
        <v>0.0</v>
      </c>
      <c r="I131" s="33">
        <v>247.0</v>
      </c>
      <c r="J131" s="33">
        <v>162.0</v>
      </c>
      <c r="K131" s="33">
        <v>71.0</v>
      </c>
      <c r="L131" s="33" t="s">
        <v>71</v>
      </c>
      <c r="M131" s="33">
        <v>25.0</v>
      </c>
      <c r="N131" s="33">
        <v>120.0</v>
      </c>
      <c r="O131" s="33">
        <v>69.0</v>
      </c>
      <c r="P131" s="33">
        <v>0.0</v>
      </c>
      <c r="Q131" s="33">
        <v>10.0</v>
      </c>
      <c r="R131" s="33">
        <v>0.0</v>
      </c>
      <c r="S131" s="33">
        <v>0.0</v>
      </c>
      <c r="T131" s="35" t="s">
        <v>104</v>
      </c>
      <c r="U131" s="36" t="s">
        <v>46</v>
      </c>
      <c r="V131" s="37" t="s">
        <v>68</v>
      </c>
      <c r="W131" s="38">
        <v>0.0625</v>
      </c>
      <c r="X131" s="53"/>
      <c r="Y131" s="40"/>
    </row>
    <row r="132" ht="15.75" customHeight="1">
      <c r="A132" s="19">
        <v>124.0</v>
      </c>
      <c r="B132" s="20" t="s">
        <v>66</v>
      </c>
      <c r="C132" s="21" t="str">
        <f>HYPERLINK("https://azurlane.koumakan.jp/Dorsetshire","Dorsetshire")</f>
        <v>Dorsetshire</v>
      </c>
      <c r="D132" s="22" t="s">
        <v>28</v>
      </c>
      <c r="E132" s="22">
        <v>4865.0</v>
      </c>
      <c r="F132" s="22">
        <v>185.0</v>
      </c>
      <c r="G132" s="22">
        <v>248.0</v>
      </c>
      <c r="H132" s="22">
        <v>0.0</v>
      </c>
      <c r="I132" s="22">
        <v>255.0</v>
      </c>
      <c r="J132" s="22">
        <v>167.0</v>
      </c>
      <c r="K132" s="22">
        <v>71.0</v>
      </c>
      <c r="L132" s="22" t="s">
        <v>71</v>
      </c>
      <c r="M132" s="22">
        <v>25.0</v>
      </c>
      <c r="N132" s="22">
        <v>120.0</v>
      </c>
      <c r="O132" s="22">
        <v>33.0</v>
      </c>
      <c r="P132" s="22">
        <v>0.0</v>
      </c>
      <c r="Q132" s="22">
        <v>10.0</v>
      </c>
      <c r="R132" s="22">
        <v>0.0</v>
      </c>
      <c r="S132" s="22">
        <v>0.0</v>
      </c>
      <c r="T132" s="24" t="s">
        <v>104</v>
      </c>
      <c r="U132" s="58"/>
      <c r="V132" s="26" t="s">
        <v>68</v>
      </c>
      <c r="W132" s="76">
        <v>0.0625</v>
      </c>
      <c r="X132" s="28" t="s">
        <v>124</v>
      </c>
      <c r="Y132" s="29"/>
    </row>
    <row r="133" ht="15.75" customHeight="1">
      <c r="A133" s="30">
        <v>125.0</v>
      </c>
      <c r="B133" s="31" t="s">
        <v>66</v>
      </c>
      <c r="C133" s="32" t="str">
        <f>HYPERLINK("https://azurlane.koumakan.jp/York","York")</f>
        <v>York</v>
      </c>
      <c r="D133" s="33" t="s">
        <v>28</v>
      </c>
      <c r="E133" s="33">
        <v>3761.0</v>
      </c>
      <c r="F133" s="33">
        <v>229.0</v>
      </c>
      <c r="G133" s="33">
        <v>196.0</v>
      </c>
      <c r="H133" s="33">
        <v>0.0</v>
      </c>
      <c r="I133" s="33">
        <v>248.0</v>
      </c>
      <c r="J133" s="33">
        <v>178.0</v>
      </c>
      <c r="K133" s="33">
        <v>75.0</v>
      </c>
      <c r="L133" s="33" t="s">
        <v>71</v>
      </c>
      <c r="M133" s="33">
        <v>25.0</v>
      </c>
      <c r="N133" s="33">
        <v>134.0</v>
      </c>
      <c r="O133" s="33">
        <v>15.0</v>
      </c>
      <c r="P133" s="33">
        <v>0.0</v>
      </c>
      <c r="Q133" s="33">
        <v>11.0</v>
      </c>
      <c r="R133" s="33">
        <v>0.0</v>
      </c>
      <c r="S133" s="33">
        <v>0.0</v>
      </c>
      <c r="T133" s="35" t="s">
        <v>104</v>
      </c>
      <c r="U133" s="36" t="s">
        <v>125</v>
      </c>
      <c r="V133" s="37" t="s">
        <v>83</v>
      </c>
      <c r="W133" s="62">
        <v>0.07291666666666667</v>
      </c>
      <c r="X133" s="53"/>
      <c r="Y133" s="40"/>
    </row>
    <row r="134" ht="15.75" customHeight="1">
      <c r="A134" s="19">
        <v>125.1</v>
      </c>
      <c r="B134" s="20" t="s">
        <v>66</v>
      </c>
      <c r="C134" s="21" t="str">
        <f>HYPERLINK("https://azurlane.koumakan.jp/York#Retrofit","York (R)")</f>
        <v>York (R)</v>
      </c>
      <c r="D134" s="22" t="s">
        <v>32</v>
      </c>
      <c r="E134" s="22">
        <v>4001.0</v>
      </c>
      <c r="F134" s="22">
        <v>289.0</v>
      </c>
      <c r="G134" s="22">
        <v>196.0</v>
      </c>
      <c r="H134" s="22">
        <v>0.0</v>
      </c>
      <c r="I134" s="22">
        <v>263.0</v>
      </c>
      <c r="J134" s="22">
        <v>193.0</v>
      </c>
      <c r="K134" s="22">
        <v>95.0</v>
      </c>
      <c r="L134" s="22" t="s">
        <v>71</v>
      </c>
      <c r="M134" s="22">
        <v>25.0</v>
      </c>
      <c r="N134" s="22">
        <v>134.0</v>
      </c>
      <c r="O134" s="23">
        <v>15.0</v>
      </c>
      <c r="P134" s="22">
        <v>0.0</v>
      </c>
      <c r="Q134" s="22">
        <v>11.0</v>
      </c>
      <c r="R134" s="22">
        <v>0.0</v>
      </c>
      <c r="S134" s="22">
        <v>0.0</v>
      </c>
      <c r="T134" s="24" t="s">
        <v>104</v>
      </c>
      <c r="U134" s="59" t="s">
        <v>42</v>
      </c>
      <c r="W134" s="60"/>
      <c r="X134" s="54"/>
      <c r="Y134" s="29"/>
    </row>
    <row r="135" ht="15.75" customHeight="1">
      <c r="A135" s="30">
        <v>126.0</v>
      </c>
      <c r="B135" s="31" t="s">
        <v>66</v>
      </c>
      <c r="C135" s="32" t="str">
        <f>HYPERLINK("https://azurlane.koumakan.jp/Exeter","Exeter")</f>
        <v>Exeter</v>
      </c>
      <c r="D135" s="33" t="s">
        <v>28</v>
      </c>
      <c r="E135" s="33">
        <v>3791.0</v>
      </c>
      <c r="F135" s="33">
        <v>229.0</v>
      </c>
      <c r="G135" s="33">
        <v>196.0</v>
      </c>
      <c r="H135" s="33">
        <v>0.0</v>
      </c>
      <c r="I135" s="33">
        <v>248.0</v>
      </c>
      <c r="J135" s="33">
        <v>178.0</v>
      </c>
      <c r="K135" s="33">
        <v>75.0</v>
      </c>
      <c r="L135" s="33" t="s">
        <v>71</v>
      </c>
      <c r="M135" s="33">
        <v>25.0</v>
      </c>
      <c r="N135" s="33">
        <v>129.0</v>
      </c>
      <c r="O135" s="33">
        <v>49.0</v>
      </c>
      <c r="P135" s="33">
        <v>0.0</v>
      </c>
      <c r="Q135" s="33">
        <v>11.0</v>
      </c>
      <c r="R135" s="33">
        <v>0.0</v>
      </c>
      <c r="S135" s="33">
        <v>0.0</v>
      </c>
      <c r="T135" s="35" t="s">
        <v>104</v>
      </c>
      <c r="U135" s="36" t="s">
        <v>125</v>
      </c>
      <c r="V135" s="37" t="s">
        <v>83</v>
      </c>
      <c r="W135" s="62">
        <v>0.07291666666666667</v>
      </c>
      <c r="X135" s="53"/>
      <c r="Y135" s="40"/>
    </row>
    <row r="136" ht="15.75" customHeight="1">
      <c r="A136" s="19">
        <v>126.1</v>
      </c>
      <c r="B136" s="20" t="s">
        <v>66</v>
      </c>
      <c r="C136" s="21" t="str">
        <f>HYPERLINK("https://azurlane.koumakan.jp/Exeter#Retrofit","Exeter (R)")</f>
        <v>Exeter (R)</v>
      </c>
      <c r="D136" s="22" t="s">
        <v>32</v>
      </c>
      <c r="E136" s="22">
        <v>4031.0</v>
      </c>
      <c r="F136" s="22">
        <v>269.0</v>
      </c>
      <c r="G136" s="22">
        <v>196.0</v>
      </c>
      <c r="H136" s="22">
        <v>0.0</v>
      </c>
      <c r="I136" s="22">
        <v>263.0</v>
      </c>
      <c r="J136" s="22">
        <v>193.0</v>
      </c>
      <c r="K136" s="22">
        <v>75.0</v>
      </c>
      <c r="L136" s="22" t="s">
        <v>71</v>
      </c>
      <c r="M136" s="22">
        <v>25.0</v>
      </c>
      <c r="N136" s="22">
        <v>154.0</v>
      </c>
      <c r="O136" s="23">
        <v>49.0</v>
      </c>
      <c r="P136" s="22">
        <v>0.0</v>
      </c>
      <c r="Q136" s="22">
        <v>11.0</v>
      </c>
      <c r="R136" s="22">
        <v>0.0</v>
      </c>
      <c r="S136" s="22">
        <v>0.0</v>
      </c>
      <c r="T136" s="24" t="s">
        <v>104</v>
      </c>
      <c r="U136" s="59" t="s">
        <v>42</v>
      </c>
      <c r="W136" s="60"/>
      <c r="X136" s="54"/>
      <c r="Y136" s="29"/>
    </row>
    <row r="137" ht="15.75" customHeight="1">
      <c r="A137" s="30">
        <v>127.0</v>
      </c>
      <c r="B137" s="31" t="s">
        <v>126</v>
      </c>
      <c r="C137" s="32" t="str">
        <f>HYPERLINK("https://azurlane.koumakan.jp/Renown","Renown")</f>
        <v>Renown</v>
      </c>
      <c r="D137" s="33" t="s">
        <v>28</v>
      </c>
      <c r="E137" s="33">
        <v>6356.0</v>
      </c>
      <c r="F137" s="33">
        <v>381.0</v>
      </c>
      <c r="G137" s="33">
        <v>0.0</v>
      </c>
      <c r="H137" s="33">
        <v>0.0</v>
      </c>
      <c r="I137" s="33">
        <v>282.0</v>
      </c>
      <c r="J137" s="33">
        <v>158.0</v>
      </c>
      <c r="K137" s="33">
        <v>38.0</v>
      </c>
      <c r="L137" s="33" t="s">
        <v>71</v>
      </c>
      <c r="M137" s="33">
        <v>32.0</v>
      </c>
      <c r="N137" s="33">
        <v>74.0</v>
      </c>
      <c r="O137" s="33">
        <v>85.0</v>
      </c>
      <c r="P137" s="33">
        <v>0.0</v>
      </c>
      <c r="Q137" s="33">
        <v>13.0</v>
      </c>
      <c r="R137" s="33">
        <v>0.0</v>
      </c>
      <c r="S137" s="33">
        <v>0.0</v>
      </c>
      <c r="T137" s="35" t="s">
        <v>104</v>
      </c>
      <c r="U137" s="36" t="s">
        <v>53</v>
      </c>
      <c r="V137" s="37" t="s">
        <v>83</v>
      </c>
      <c r="W137" s="38">
        <v>0.1736111111111111</v>
      </c>
      <c r="X137" s="53"/>
      <c r="Y137" s="40"/>
    </row>
    <row r="138" ht="15.75" customHeight="1">
      <c r="A138" s="19">
        <v>128.0</v>
      </c>
      <c r="B138" s="20" t="s">
        <v>126</v>
      </c>
      <c r="C138" s="21" t="str">
        <f>HYPERLINK("https://azurlane.koumakan.jp/Repulse","Repulse")</f>
        <v>Repulse</v>
      </c>
      <c r="D138" s="22" t="s">
        <v>36</v>
      </c>
      <c r="E138" s="22">
        <v>6176.0</v>
      </c>
      <c r="F138" s="22">
        <v>359.0</v>
      </c>
      <c r="G138" s="22">
        <v>0.0</v>
      </c>
      <c r="H138" s="22">
        <v>0.0</v>
      </c>
      <c r="I138" s="22">
        <v>274.0</v>
      </c>
      <c r="J138" s="22">
        <v>155.0</v>
      </c>
      <c r="K138" s="22">
        <v>37.0</v>
      </c>
      <c r="L138" s="22" t="s">
        <v>71</v>
      </c>
      <c r="M138" s="22">
        <v>31.0</v>
      </c>
      <c r="N138" s="22">
        <v>70.0</v>
      </c>
      <c r="O138" s="22">
        <v>28.0</v>
      </c>
      <c r="P138" s="22">
        <v>0.0</v>
      </c>
      <c r="Q138" s="22">
        <v>12.0</v>
      </c>
      <c r="R138" s="22">
        <v>0.0</v>
      </c>
      <c r="S138" s="22">
        <v>0.0</v>
      </c>
      <c r="T138" s="24" t="s">
        <v>104</v>
      </c>
      <c r="U138" s="25" t="s">
        <v>53</v>
      </c>
      <c r="V138" s="26" t="s">
        <v>83</v>
      </c>
      <c r="W138" s="27">
        <v>0.1736111111111111</v>
      </c>
      <c r="X138" s="54"/>
      <c r="Y138" s="29"/>
    </row>
    <row r="139" ht="15.75" customHeight="1">
      <c r="A139" s="30">
        <v>129.0</v>
      </c>
      <c r="B139" s="31" t="s">
        <v>126</v>
      </c>
      <c r="C139" s="32" t="str">
        <f>HYPERLINK("https://azurlane.koumakan.jp/Hood","Hood")</f>
        <v>Hood</v>
      </c>
      <c r="D139" s="33" t="s">
        <v>32</v>
      </c>
      <c r="E139" s="33">
        <v>8637.0</v>
      </c>
      <c r="F139" s="33">
        <v>347.0</v>
      </c>
      <c r="G139" s="33">
        <v>0.0</v>
      </c>
      <c r="H139" s="33">
        <v>0.0</v>
      </c>
      <c r="I139" s="33">
        <v>330.0</v>
      </c>
      <c r="J139" s="33">
        <v>161.0</v>
      </c>
      <c r="K139" s="33">
        <v>38.0</v>
      </c>
      <c r="L139" s="33" t="s">
        <v>71</v>
      </c>
      <c r="M139" s="33">
        <v>31.0</v>
      </c>
      <c r="N139" s="33">
        <v>70.0</v>
      </c>
      <c r="O139" s="33">
        <v>38.0</v>
      </c>
      <c r="P139" s="33">
        <v>0.0</v>
      </c>
      <c r="Q139" s="33">
        <v>14.0</v>
      </c>
      <c r="R139" s="33">
        <v>0.0</v>
      </c>
      <c r="S139" s="33">
        <v>0.0</v>
      </c>
      <c r="T139" s="35" t="s">
        <v>104</v>
      </c>
      <c r="U139" s="57"/>
      <c r="V139" s="37" t="s">
        <v>127</v>
      </c>
      <c r="W139" s="38">
        <v>0.24305555555555555</v>
      </c>
      <c r="X139" s="53"/>
      <c r="Y139" s="40"/>
    </row>
    <row r="140" ht="15.75" customHeight="1">
      <c r="A140" s="19">
        <v>130.0</v>
      </c>
      <c r="B140" s="20" t="s">
        <v>82</v>
      </c>
      <c r="C140" s="21" t="str">
        <f>HYPERLINK("https://azurlane.koumakan.jp/Queen_Elizabeth","Queen Elizabeth")</f>
        <v>Queen Elizabeth</v>
      </c>
      <c r="D140" s="22" t="s">
        <v>28</v>
      </c>
      <c r="E140" s="22">
        <v>7690.0</v>
      </c>
      <c r="F140" s="22">
        <v>408.0</v>
      </c>
      <c r="G140" s="22">
        <v>0.0</v>
      </c>
      <c r="H140" s="22">
        <v>0.0</v>
      </c>
      <c r="I140" s="22">
        <v>217.0</v>
      </c>
      <c r="J140" s="22">
        <v>147.0</v>
      </c>
      <c r="K140" s="22">
        <v>34.0</v>
      </c>
      <c r="L140" s="22" t="s">
        <v>83</v>
      </c>
      <c r="M140" s="22">
        <v>24.0</v>
      </c>
      <c r="N140" s="22">
        <v>70.0</v>
      </c>
      <c r="O140" s="22">
        <v>25.0</v>
      </c>
      <c r="P140" s="22">
        <v>0.0</v>
      </c>
      <c r="Q140" s="22">
        <v>14.0</v>
      </c>
      <c r="R140" s="22">
        <v>0.0</v>
      </c>
      <c r="S140" s="22">
        <v>0.0</v>
      </c>
      <c r="T140" s="24" t="s">
        <v>104</v>
      </c>
      <c r="U140" s="25" t="s">
        <v>58</v>
      </c>
      <c r="V140" s="26" t="s">
        <v>83</v>
      </c>
      <c r="W140" s="76">
        <v>0.1736111111111111</v>
      </c>
      <c r="X140" s="28" t="s">
        <v>128</v>
      </c>
      <c r="Y140" s="29"/>
    </row>
    <row r="141" ht="15.75" customHeight="1">
      <c r="A141" s="30">
        <v>131.0</v>
      </c>
      <c r="B141" s="31" t="s">
        <v>82</v>
      </c>
      <c r="C141" s="32" t="str">
        <f>HYPERLINK("https://azurlane.koumakan.jp/Warspite","Warspite")</f>
        <v>Warspite</v>
      </c>
      <c r="D141" s="33" t="s">
        <v>32</v>
      </c>
      <c r="E141" s="33">
        <v>7968.0</v>
      </c>
      <c r="F141" s="33">
        <v>431.0</v>
      </c>
      <c r="G141" s="33">
        <v>0.0</v>
      </c>
      <c r="H141" s="33">
        <v>0.0</v>
      </c>
      <c r="I141" s="33">
        <v>224.0</v>
      </c>
      <c r="J141" s="33">
        <v>161.0</v>
      </c>
      <c r="K141" s="33">
        <v>34.0</v>
      </c>
      <c r="L141" s="33" t="s">
        <v>83</v>
      </c>
      <c r="M141" s="33">
        <v>24.0</v>
      </c>
      <c r="N141" s="33">
        <v>78.0</v>
      </c>
      <c r="O141" s="33">
        <v>90.0</v>
      </c>
      <c r="P141" s="33">
        <v>0.0</v>
      </c>
      <c r="Q141" s="33">
        <v>15.0</v>
      </c>
      <c r="R141" s="33">
        <v>0.0</v>
      </c>
      <c r="S141" s="33">
        <v>0.0</v>
      </c>
      <c r="T141" s="35" t="s">
        <v>104</v>
      </c>
      <c r="U141" s="57"/>
      <c r="V141" s="37" t="s">
        <v>127</v>
      </c>
      <c r="W141" s="62">
        <v>0.1736111111111111</v>
      </c>
      <c r="X141" s="39"/>
      <c r="Y141" s="40"/>
    </row>
    <row r="142" ht="15.75" customHeight="1">
      <c r="A142" s="85">
        <v>131.1</v>
      </c>
      <c r="B142" s="86" t="s">
        <v>82</v>
      </c>
      <c r="C142" s="87" t="str">
        <f>HYPERLINK("https://azurlane.koumakan.jp/Warspite#Retrofit","Warspite (R)")</f>
        <v>Warspite (R)</v>
      </c>
      <c r="D142" s="88" t="s">
        <v>34</v>
      </c>
      <c r="E142" s="22">
        <v>8208.0</v>
      </c>
      <c r="F142" s="22">
        <v>451.0</v>
      </c>
      <c r="G142" s="23">
        <v>0.0</v>
      </c>
      <c r="H142" s="23">
        <v>0.0</v>
      </c>
      <c r="I142" s="22">
        <v>294.0</v>
      </c>
      <c r="J142" s="22">
        <v>181.0</v>
      </c>
      <c r="K142" s="22">
        <v>34.0</v>
      </c>
      <c r="L142" s="23" t="s">
        <v>83</v>
      </c>
      <c r="M142" s="23">
        <v>24.0</v>
      </c>
      <c r="N142" s="22">
        <v>103.0</v>
      </c>
      <c r="O142" s="23">
        <v>90.0</v>
      </c>
      <c r="P142" s="22">
        <v>99.0</v>
      </c>
      <c r="Q142" s="23">
        <v>15.0</v>
      </c>
      <c r="R142" s="23">
        <v>0.0</v>
      </c>
      <c r="S142" s="23">
        <v>0.0</v>
      </c>
      <c r="T142" s="24" t="s">
        <v>104</v>
      </c>
      <c r="U142" s="84" t="s">
        <v>42</v>
      </c>
      <c r="W142" s="60"/>
      <c r="X142" s="28"/>
      <c r="Y142" s="29"/>
    </row>
    <row r="143" ht="15.75" customHeight="1">
      <c r="A143" s="30">
        <v>132.0</v>
      </c>
      <c r="B143" s="31" t="s">
        <v>82</v>
      </c>
      <c r="C143" s="32" t="str">
        <f>HYPERLINK("https://azurlane.koumakan.jp/Nelson","Nelson")</f>
        <v>Nelson</v>
      </c>
      <c r="D143" s="33" t="s">
        <v>28</v>
      </c>
      <c r="E143" s="33">
        <v>7836.0</v>
      </c>
      <c r="F143" s="33">
        <v>412.0</v>
      </c>
      <c r="G143" s="33">
        <v>0.0</v>
      </c>
      <c r="H143" s="33">
        <v>0.0</v>
      </c>
      <c r="I143" s="33">
        <v>223.0</v>
      </c>
      <c r="J143" s="33">
        <v>151.0</v>
      </c>
      <c r="K143" s="33">
        <v>34.0</v>
      </c>
      <c r="L143" s="33" t="s">
        <v>83</v>
      </c>
      <c r="M143" s="33">
        <v>23.0</v>
      </c>
      <c r="N143" s="33">
        <v>72.0</v>
      </c>
      <c r="O143" s="33">
        <v>66.0</v>
      </c>
      <c r="P143" s="33">
        <v>0.0</v>
      </c>
      <c r="Q143" s="33">
        <v>14.0</v>
      </c>
      <c r="R143" s="33">
        <v>0.0</v>
      </c>
      <c r="S143" s="33">
        <v>0.0</v>
      </c>
      <c r="T143" s="35" t="s">
        <v>104</v>
      </c>
      <c r="U143" s="36" t="s">
        <v>46</v>
      </c>
      <c r="V143" s="37" t="s">
        <v>83</v>
      </c>
      <c r="W143" s="38">
        <v>0.19444444444444445</v>
      </c>
      <c r="X143" s="53"/>
      <c r="Y143" s="40"/>
    </row>
    <row r="144" ht="15.75" customHeight="1">
      <c r="A144" s="19">
        <v>133.0</v>
      </c>
      <c r="B144" s="20" t="s">
        <v>82</v>
      </c>
      <c r="C144" s="21" t="str">
        <f>HYPERLINK("https://azurlane.koumakan.jp/Rodney","Rodney")</f>
        <v>Rodney</v>
      </c>
      <c r="D144" s="22" t="s">
        <v>28</v>
      </c>
      <c r="E144" s="22">
        <v>7811.0</v>
      </c>
      <c r="F144" s="22">
        <v>412.0</v>
      </c>
      <c r="G144" s="22">
        <v>0.0</v>
      </c>
      <c r="H144" s="22">
        <v>0.0</v>
      </c>
      <c r="I144" s="22">
        <v>223.0</v>
      </c>
      <c r="J144" s="22">
        <v>151.0</v>
      </c>
      <c r="K144" s="22">
        <v>32.0</v>
      </c>
      <c r="L144" s="22" t="s">
        <v>83</v>
      </c>
      <c r="M144" s="22">
        <v>23.0</v>
      </c>
      <c r="N144" s="22">
        <v>72.0</v>
      </c>
      <c r="O144" s="22">
        <v>81.0</v>
      </c>
      <c r="P144" s="22">
        <v>0.0</v>
      </c>
      <c r="Q144" s="22">
        <v>14.0</v>
      </c>
      <c r="R144" s="22">
        <v>0.0</v>
      </c>
      <c r="S144" s="22">
        <v>0.0</v>
      </c>
      <c r="T144" s="24" t="s">
        <v>104</v>
      </c>
      <c r="U144" s="25" t="s">
        <v>96</v>
      </c>
      <c r="V144" s="26" t="s">
        <v>83</v>
      </c>
      <c r="W144" s="27">
        <v>0.19444444444444445</v>
      </c>
      <c r="X144" s="54"/>
      <c r="Y144" s="29"/>
    </row>
    <row r="145" ht="15.75" customHeight="1">
      <c r="A145" s="49">
        <v>134.0</v>
      </c>
      <c r="B145" s="50" t="s">
        <v>82</v>
      </c>
      <c r="C145" s="51" t="str">
        <f>HYPERLINK("https://azurlane.koumakan.jp/King_George_V","King George V")</f>
        <v>King George V</v>
      </c>
      <c r="D145" s="37" t="s">
        <v>32</v>
      </c>
      <c r="E145" s="33">
        <v>8159.0</v>
      </c>
      <c r="F145" s="33">
        <v>428.0</v>
      </c>
      <c r="G145" s="33">
        <v>0.0</v>
      </c>
      <c r="H145" s="33">
        <v>0.0</v>
      </c>
      <c r="I145" s="33">
        <v>270.0</v>
      </c>
      <c r="J145" s="33">
        <v>158.0</v>
      </c>
      <c r="K145" s="33">
        <v>36.0</v>
      </c>
      <c r="L145" s="33" t="s">
        <v>83</v>
      </c>
      <c r="M145" s="33">
        <v>28.0</v>
      </c>
      <c r="N145" s="33">
        <v>72.0</v>
      </c>
      <c r="O145" s="33">
        <v>77.0</v>
      </c>
      <c r="P145" s="33">
        <v>0.0</v>
      </c>
      <c r="Q145" s="33">
        <v>15.0</v>
      </c>
      <c r="R145" s="33">
        <v>0.0</v>
      </c>
      <c r="S145" s="33">
        <v>0.0</v>
      </c>
      <c r="T145" s="35" t="s">
        <v>104</v>
      </c>
      <c r="U145" s="57"/>
      <c r="V145" s="37" t="s">
        <v>76</v>
      </c>
      <c r="W145" s="38">
        <v>0.2013888888888889</v>
      </c>
      <c r="X145" s="39" t="s">
        <v>129</v>
      </c>
      <c r="Y145" s="40"/>
    </row>
    <row r="146" ht="15.75" customHeight="1">
      <c r="A146" s="19">
        <v>135.0</v>
      </c>
      <c r="B146" s="20" t="s">
        <v>82</v>
      </c>
      <c r="C146" s="21" t="str">
        <f>HYPERLINK("https://azurlane.koumakan.jp/Prince_of_Wales","Prince of Wales")</f>
        <v>Prince of Wales</v>
      </c>
      <c r="D146" s="22" t="s">
        <v>32</v>
      </c>
      <c r="E146" s="22">
        <v>8155.0</v>
      </c>
      <c r="F146" s="22">
        <v>428.0</v>
      </c>
      <c r="G146" s="22">
        <v>0.0</v>
      </c>
      <c r="H146" s="22">
        <v>0.0</v>
      </c>
      <c r="I146" s="22">
        <v>235.0</v>
      </c>
      <c r="J146" s="22">
        <v>158.0</v>
      </c>
      <c r="K146" s="22">
        <v>36.0</v>
      </c>
      <c r="L146" s="22" t="s">
        <v>83</v>
      </c>
      <c r="M146" s="22">
        <v>28.0</v>
      </c>
      <c r="N146" s="22">
        <v>71.0</v>
      </c>
      <c r="O146" s="22">
        <v>19.0</v>
      </c>
      <c r="P146" s="22">
        <v>0.0</v>
      </c>
      <c r="Q146" s="22">
        <v>15.0</v>
      </c>
      <c r="R146" s="22">
        <v>0.0</v>
      </c>
      <c r="S146" s="22">
        <v>0.0</v>
      </c>
      <c r="T146" s="24" t="s">
        <v>104</v>
      </c>
      <c r="U146" s="58"/>
      <c r="V146" s="26" t="s">
        <v>83</v>
      </c>
      <c r="W146" s="27">
        <v>0.2013888888888889</v>
      </c>
      <c r="X146" s="28" t="s">
        <v>130</v>
      </c>
      <c r="Y146" s="29"/>
    </row>
    <row r="147" ht="15.75" customHeight="1">
      <c r="A147" s="30">
        <v>136.0</v>
      </c>
      <c r="B147" s="31" t="s">
        <v>82</v>
      </c>
      <c r="C147" s="32" t="str">
        <f>HYPERLINK("https://azurlane.koumakan.jp/Duke_of_York","Duke of York")</f>
        <v>Duke of York</v>
      </c>
      <c r="D147" s="33" t="s">
        <v>32</v>
      </c>
      <c r="E147" s="33">
        <v>8155.0</v>
      </c>
      <c r="F147" s="33">
        <v>426.0</v>
      </c>
      <c r="G147" s="33">
        <v>0.0</v>
      </c>
      <c r="H147" s="33">
        <v>0.0</v>
      </c>
      <c r="I147" s="33">
        <v>230.0</v>
      </c>
      <c r="J147" s="33">
        <v>155.0</v>
      </c>
      <c r="K147" s="33">
        <v>36.0</v>
      </c>
      <c r="L147" s="33" t="s">
        <v>83</v>
      </c>
      <c r="M147" s="33">
        <v>28.0</v>
      </c>
      <c r="N147" s="33">
        <v>72.0</v>
      </c>
      <c r="O147" s="33">
        <v>73.0</v>
      </c>
      <c r="P147" s="33">
        <v>0.0</v>
      </c>
      <c r="Q147" s="33">
        <v>15.0</v>
      </c>
      <c r="R147" s="33">
        <v>0.0</v>
      </c>
      <c r="S147" s="33">
        <v>0.0</v>
      </c>
      <c r="T147" s="35" t="s">
        <v>104</v>
      </c>
      <c r="U147" s="57"/>
      <c r="V147" s="37" t="s">
        <v>83</v>
      </c>
      <c r="W147" s="62">
        <v>0.2013888888888889</v>
      </c>
      <c r="X147" s="39" t="s">
        <v>111</v>
      </c>
      <c r="Y147" s="40"/>
    </row>
    <row r="148" ht="15.75" customHeight="1">
      <c r="A148" s="19">
        <v>140.0</v>
      </c>
      <c r="B148" s="20" t="s">
        <v>91</v>
      </c>
      <c r="C148" s="21" t="str">
        <f>HYPERLINK("https://azurlane.koumakan.jp/Hermes","Hermes")</f>
        <v>Hermes</v>
      </c>
      <c r="D148" s="22" t="s">
        <v>40</v>
      </c>
      <c r="E148" s="22">
        <v>4257.0</v>
      </c>
      <c r="F148" s="22">
        <v>0.0</v>
      </c>
      <c r="G148" s="22">
        <v>0.0</v>
      </c>
      <c r="H148" s="22">
        <v>284.0</v>
      </c>
      <c r="I148" s="22">
        <v>253.0</v>
      </c>
      <c r="J148" s="22">
        <v>175.0</v>
      </c>
      <c r="K148" s="22">
        <v>69.0</v>
      </c>
      <c r="L148" s="22" t="s">
        <v>71</v>
      </c>
      <c r="M148" s="22">
        <v>25.0</v>
      </c>
      <c r="N148" s="22">
        <v>83.0</v>
      </c>
      <c r="O148" s="22">
        <v>41.0</v>
      </c>
      <c r="P148" s="22">
        <v>105.0</v>
      </c>
      <c r="Q148" s="22">
        <v>9.0</v>
      </c>
      <c r="R148" s="22">
        <v>0.0</v>
      </c>
      <c r="S148" s="22">
        <v>0.0</v>
      </c>
      <c r="T148" s="24" t="s">
        <v>104</v>
      </c>
      <c r="U148" s="25" t="s">
        <v>67</v>
      </c>
      <c r="V148" s="26" t="s">
        <v>92</v>
      </c>
      <c r="W148" s="76">
        <v>0.09027777777777778</v>
      </c>
      <c r="X148" s="54"/>
      <c r="Y148" s="29"/>
    </row>
    <row r="149" ht="15.75" customHeight="1">
      <c r="A149" s="89">
        <v>140.1</v>
      </c>
      <c r="B149" s="90" t="s">
        <v>91</v>
      </c>
      <c r="C149" s="91" t="str">
        <f>HYPERLINK("https://azurlane.koumakan.jp/Hermes#Retrofit","Hermes (R)")</f>
        <v>Hermes (R)</v>
      </c>
      <c r="D149" s="92" t="s">
        <v>36</v>
      </c>
      <c r="E149" s="92">
        <v>4467.0</v>
      </c>
      <c r="F149" s="93">
        <v>0.0</v>
      </c>
      <c r="G149" s="93">
        <v>0.0</v>
      </c>
      <c r="H149" s="92">
        <v>304.0</v>
      </c>
      <c r="I149" s="92">
        <v>303.0</v>
      </c>
      <c r="J149" s="92">
        <v>195.0</v>
      </c>
      <c r="K149" s="92">
        <v>69.0</v>
      </c>
      <c r="L149" s="93" t="s">
        <v>71</v>
      </c>
      <c r="M149" s="93">
        <v>25.0</v>
      </c>
      <c r="N149" s="92">
        <v>83.0</v>
      </c>
      <c r="O149" s="93">
        <v>41.0</v>
      </c>
      <c r="P149" s="92">
        <v>105.0</v>
      </c>
      <c r="Q149" s="93">
        <v>9.0</v>
      </c>
      <c r="R149" s="93">
        <v>0.0</v>
      </c>
      <c r="S149" s="93">
        <v>0.0</v>
      </c>
      <c r="T149" s="35" t="s">
        <v>104</v>
      </c>
      <c r="U149" s="94" t="s">
        <v>42</v>
      </c>
      <c r="W149" s="56"/>
      <c r="X149" s="95"/>
      <c r="Y149" s="74"/>
    </row>
    <row r="150" ht="15.75" customHeight="1">
      <c r="A150" s="19">
        <v>142.0</v>
      </c>
      <c r="B150" s="20" t="s">
        <v>91</v>
      </c>
      <c r="C150" s="21" t="str">
        <f>HYPERLINK("https://azurlane.koumakan.jp/Unicorn","Unicorn")</f>
        <v>Unicorn</v>
      </c>
      <c r="D150" s="22" t="s">
        <v>28</v>
      </c>
      <c r="E150" s="22">
        <v>5464.0</v>
      </c>
      <c r="F150" s="22">
        <v>0.0</v>
      </c>
      <c r="G150" s="22">
        <v>0.0</v>
      </c>
      <c r="H150" s="22">
        <v>311.0</v>
      </c>
      <c r="I150" s="22">
        <v>274.0</v>
      </c>
      <c r="J150" s="22">
        <v>183.0</v>
      </c>
      <c r="K150" s="22">
        <v>68.0</v>
      </c>
      <c r="L150" s="22" t="s">
        <v>71</v>
      </c>
      <c r="M150" s="22">
        <v>24.0</v>
      </c>
      <c r="N150" s="22">
        <v>86.0</v>
      </c>
      <c r="O150" s="22">
        <v>78.0</v>
      </c>
      <c r="P150" s="22">
        <v>110.0</v>
      </c>
      <c r="Q150" s="22">
        <v>11.0</v>
      </c>
      <c r="R150" s="22">
        <v>0.0</v>
      </c>
      <c r="S150" s="22">
        <v>0.0</v>
      </c>
      <c r="T150" s="24" t="s">
        <v>104</v>
      </c>
      <c r="U150" s="25" t="s">
        <v>63</v>
      </c>
      <c r="V150" s="26" t="s">
        <v>92</v>
      </c>
      <c r="W150" s="27">
        <v>0.10416666666666667</v>
      </c>
      <c r="X150" s="28" t="s">
        <v>131</v>
      </c>
      <c r="Y150" s="29"/>
    </row>
    <row r="151" ht="15.75" customHeight="1">
      <c r="A151" s="68">
        <v>143.0</v>
      </c>
      <c r="B151" s="69" t="s">
        <v>95</v>
      </c>
      <c r="C151" s="80" t="s">
        <v>132</v>
      </c>
      <c r="D151" s="35" t="s">
        <v>28</v>
      </c>
      <c r="E151" s="35">
        <v>6341.0</v>
      </c>
      <c r="F151" s="35">
        <v>218.0</v>
      </c>
      <c r="G151" s="35">
        <v>0.0</v>
      </c>
      <c r="H151" s="35">
        <v>375.0</v>
      </c>
      <c r="I151" s="35">
        <v>314.0</v>
      </c>
      <c r="J151" s="35">
        <v>114.0</v>
      </c>
      <c r="K151" s="35">
        <v>48.0</v>
      </c>
      <c r="L151" s="35" t="s">
        <v>71</v>
      </c>
      <c r="M151" s="35">
        <v>24.0</v>
      </c>
      <c r="N151" s="35">
        <v>92.0</v>
      </c>
      <c r="O151" s="35">
        <v>40.0</v>
      </c>
      <c r="P151" s="35">
        <v>0.0</v>
      </c>
      <c r="Q151" s="35">
        <v>12.0</v>
      </c>
      <c r="R151" s="35">
        <v>0.0</v>
      </c>
      <c r="S151" s="35">
        <v>0.0</v>
      </c>
      <c r="T151" s="35" t="s">
        <v>104</v>
      </c>
      <c r="U151" s="71"/>
      <c r="V151" s="35" t="s">
        <v>76</v>
      </c>
      <c r="W151" s="72">
        <v>0.08333333333333333</v>
      </c>
      <c r="X151" s="73" t="s">
        <v>133</v>
      </c>
      <c r="Y151" s="74"/>
    </row>
    <row r="152" ht="15.75" customHeight="1">
      <c r="A152" s="19">
        <v>144.0</v>
      </c>
      <c r="B152" s="20" t="s">
        <v>95</v>
      </c>
      <c r="C152" s="21" t="str">
        <f>HYPERLINK("https://azurlane.koumakan.jp/Ark_Royal","Ark Royal")</f>
        <v>Ark Royal</v>
      </c>
      <c r="D152" s="22" t="s">
        <v>28</v>
      </c>
      <c r="E152" s="22">
        <v>6251.0</v>
      </c>
      <c r="F152" s="22">
        <v>0.0</v>
      </c>
      <c r="G152" s="22">
        <v>0.0</v>
      </c>
      <c r="H152" s="22">
        <v>405.0</v>
      </c>
      <c r="I152" s="22">
        <v>314.0</v>
      </c>
      <c r="J152" s="22">
        <v>119.0</v>
      </c>
      <c r="K152" s="22">
        <v>55.0</v>
      </c>
      <c r="L152" s="22" t="s">
        <v>71</v>
      </c>
      <c r="M152" s="22">
        <v>31.0</v>
      </c>
      <c r="N152" s="22">
        <v>104.0</v>
      </c>
      <c r="O152" s="22">
        <v>87.0</v>
      </c>
      <c r="P152" s="22">
        <v>0.0</v>
      </c>
      <c r="Q152" s="22">
        <v>12.0</v>
      </c>
      <c r="R152" s="22">
        <v>0.0</v>
      </c>
      <c r="S152" s="22">
        <v>0.0</v>
      </c>
      <c r="T152" s="24" t="s">
        <v>104</v>
      </c>
      <c r="U152" s="25" t="s">
        <v>134</v>
      </c>
      <c r="V152" s="26" t="s">
        <v>92</v>
      </c>
      <c r="W152" s="27">
        <v>0.16666666666666666</v>
      </c>
      <c r="X152" s="28" t="s">
        <v>135</v>
      </c>
      <c r="Y152" s="29"/>
    </row>
    <row r="153" ht="15.75" customHeight="1">
      <c r="A153" s="68">
        <v>144.1</v>
      </c>
      <c r="B153" s="69" t="s">
        <v>95</v>
      </c>
      <c r="C153" s="70" t="s">
        <v>136</v>
      </c>
      <c r="D153" s="35" t="s">
        <v>32</v>
      </c>
      <c r="E153" s="35">
        <v>6461.0</v>
      </c>
      <c r="F153" s="35">
        <v>0.0</v>
      </c>
      <c r="G153" s="35">
        <v>0.0</v>
      </c>
      <c r="H153" s="35">
        <v>440.0</v>
      </c>
      <c r="I153" s="35">
        <v>364.0</v>
      </c>
      <c r="J153" s="35">
        <v>134.0</v>
      </c>
      <c r="K153" s="35">
        <v>55.0</v>
      </c>
      <c r="L153" s="35" t="s">
        <v>71</v>
      </c>
      <c r="M153" s="35">
        <v>31.0</v>
      </c>
      <c r="N153" s="35">
        <v>109.0</v>
      </c>
      <c r="O153" s="35">
        <v>87.0</v>
      </c>
      <c r="P153" s="35">
        <v>0.0</v>
      </c>
      <c r="Q153" s="35">
        <v>12.0</v>
      </c>
      <c r="R153" s="35">
        <v>0.0</v>
      </c>
      <c r="S153" s="35">
        <v>0.0</v>
      </c>
      <c r="T153" s="35" t="s">
        <v>104</v>
      </c>
      <c r="U153" s="96" t="s">
        <v>42</v>
      </c>
      <c r="W153" s="56"/>
      <c r="X153" s="95"/>
      <c r="Y153" s="74"/>
    </row>
    <row r="154" ht="15.75" customHeight="1">
      <c r="A154" s="19">
        <v>145.0</v>
      </c>
      <c r="B154" s="20" t="s">
        <v>95</v>
      </c>
      <c r="C154" s="21" t="str">
        <f>HYPERLINK("https://azurlane.koumakan.jp/Illustrious","Illustrious")</f>
        <v>Illustrious</v>
      </c>
      <c r="D154" s="22" t="s">
        <v>32</v>
      </c>
      <c r="E154" s="22">
        <v>6713.0</v>
      </c>
      <c r="F154" s="22">
        <v>0.0</v>
      </c>
      <c r="G154" s="22">
        <v>0.0</v>
      </c>
      <c r="H154" s="22">
        <v>405.0</v>
      </c>
      <c r="I154" s="22">
        <v>303.0</v>
      </c>
      <c r="J154" s="22">
        <v>119.0</v>
      </c>
      <c r="K154" s="22">
        <v>55.0</v>
      </c>
      <c r="L154" s="22" t="s">
        <v>83</v>
      </c>
      <c r="M154" s="22">
        <v>30.0</v>
      </c>
      <c r="N154" s="22">
        <v>93.0</v>
      </c>
      <c r="O154" s="22">
        <v>44.0</v>
      </c>
      <c r="P154" s="22">
        <v>0.0</v>
      </c>
      <c r="Q154" s="22">
        <v>13.0</v>
      </c>
      <c r="R154" s="22">
        <v>0.0</v>
      </c>
      <c r="S154" s="22">
        <v>0.0</v>
      </c>
      <c r="T154" s="24" t="s">
        <v>104</v>
      </c>
      <c r="U154" s="58"/>
      <c r="V154" s="26" t="s">
        <v>98</v>
      </c>
      <c r="W154" s="27">
        <v>0.1875</v>
      </c>
      <c r="X154" s="28" t="s">
        <v>137</v>
      </c>
      <c r="Y154" s="29"/>
    </row>
    <row r="155" ht="15.75" customHeight="1">
      <c r="A155" s="30">
        <v>146.0</v>
      </c>
      <c r="B155" s="31" t="s">
        <v>95</v>
      </c>
      <c r="C155" s="32" t="str">
        <f>HYPERLINK("https://azurlane.koumakan.jp/Victorious","Victorious")</f>
        <v>Victorious</v>
      </c>
      <c r="D155" s="33" t="s">
        <v>32</v>
      </c>
      <c r="E155" s="33">
        <v>6409.0</v>
      </c>
      <c r="F155" s="33">
        <v>0.0</v>
      </c>
      <c r="G155" s="33">
        <v>0.0</v>
      </c>
      <c r="H155" s="33">
        <v>415.0</v>
      </c>
      <c r="I155" s="33">
        <v>295.0</v>
      </c>
      <c r="J155" s="33">
        <v>105.0</v>
      </c>
      <c r="K155" s="33">
        <v>55.0</v>
      </c>
      <c r="L155" s="33" t="s">
        <v>83</v>
      </c>
      <c r="M155" s="33">
        <v>30.0</v>
      </c>
      <c r="N155" s="33">
        <v>92.0</v>
      </c>
      <c r="O155" s="33">
        <v>82.0</v>
      </c>
      <c r="P155" s="33">
        <v>0.0</v>
      </c>
      <c r="Q155" s="33">
        <v>13.0</v>
      </c>
      <c r="R155" s="33">
        <v>0.0</v>
      </c>
      <c r="S155" s="33">
        <v>0.0</v>
      </c>
      <c r="T155" s="35" t="s">
        <v>104</v>
      </c>
      <c r="U155" s="57"/>
      <c r="V155" s="37" t="s">
        <v>92</v>
      </c>
      <c r="W155" s="38">
        <v>0.1875</v>
      </c>
      <c r="X155" s="39" t="s">
        <v>138</v>
      </c>
      <c r="Y155" s="40"/>
    </row>
    <row r="156" ht="15.75" customHeight="1">
      <c r="A156" s="41">
        <v>147.0</v>
      </c>
      <c r="B156" s="42" t="s">
        <v>95</v>
      </c>
      <c r="C156" s="43" t="str">
        <f>HYPERLINK("https://azurlane.koumakan.jp/Formidable","Formidable")</f>
        <v>Formidable</v>
      </c>
      <c r="D156" s="24" t="s">
        <v>32</v>
      </c>
      <c r="E156" s="24">
        <v>6634.0</v>
      </c>
      <c r="F156" s="24">
        <v>0.0</v>
      </c>
      <c r="G156" s="24">
        <v>0.0</v>
      </c>
      <c r="H156" s="24">
        <v>419.0</v>
      </c>
      <c r="I156" s="24">
        <v>295.0</v>
      </c>
      <c r="J156" s="24">
        <v>119.0</v>
      </c>
      <c r="K156" s="24">
        <v>53.0</v>
      </c>
      <c r="L156" s="24" t="s">
        <v>83</v>
      </c>
      <c r="M156" s="24">
        <v>30.0</v>
      </c>
      <c r="N156" s="24">
        <v>92.0</v>
      </c>
      <c r="O156" s="24">
        <v>75.0</v>
      </c>
      <c r="P156" s="24">
        <v>0.0</v>
      </c>
      <c r="Q156" s="24">
        <v>13.0</v>
      </c>
      <c r="R156" s="24">
        <v>0.0</v>
      </c>
      <c r="S156" s="24">
        <v>0.0</v>
      </c>
      <c r="T156" s="24" t="s">
        <v>104</v>
      </c>
      <c r="U156" s="45"/>
      <c r="V156" s="26" t="s">
        <v>76</v>
      </c>
      <c r="W156" s="66">
        <v>0.1875</v>
      </c>
      <c r="X156" s="67" t="s">
        <v>139</v>
      </c>
      <c r="Y156" s="48"/>
    </row>
    <row r="157" ht="15.75" customHeight="1">
      <c r="A157" s="30">
        <v>148.0</v>
      </c>
      <c r="B157" s="31" t="s">
        <v>95</v>
      </c>
      <c r="C157" s="32" t="str">
        <f>HYPERLINK("https://azurlane.koumakan.jp/Glorious","Glorious")</f>
        <v>Glorious</v>
      </c>
      <c r="D157" s="33" t="s">
        <v>28</v>
      </c>
      <c r="E157" s="33">
        <v>6462.0</v>
      </c>
      <c r="F157" s="33">
        <v>0.0</v>
      </c>
      <c r="G157" s="33">
        <v>0.0</v>
      </c>
      <c r="H157" s="33">
        <v>365.0</v>
      </c>
      <c r="I157" s="33">
        <v>299.0</v>
      </c>
      <c r="J157" s="33">
        <v>110.0</v>
      </c>
      <c r="K157" s="33">
        <v>53.0</v>
      </c>
      <c r="L157" s="33" t="s">
        <v>71</v>
      </c>
      <c r="M157" s="33">
        <v>30.0</v>
      </c>
      <c r="N157" s="33">
        <v>90.0</v>
      </c>
      <c r="O157" s="33">
        <v>32.0</v>
      </c>
      <c r="P157" s="33">
        <v>0.0</v>
      </c>
      <c r="Q157" s="33">
        <v>12.0</v>
      </c>
      <c r="R157" s="33">
        <v>0.0</v>
      </c>
      <c r="S157" s="33">
        <v>0.0</v>
      </c>
      <c r="T157" s="35" t="s">
        <v>104</v>
      </c>
      <c r="U157" s="57"/>
      <c r="V157" s="37" t="s">
        <v>76</v>
      </c>
      <c r="W157" s="38">
        <v>0.1597222222222222</v>
      </c>
      <c r="X157" s="39" t="s">
        <v>140</v>
      </c>
      <c r="Y157" s="40"/>
    </row>
    <row r="158" ht="15.75" customHeight="1">
      <c r="A158" s="19">
        <v>149.0</v>
      </c>
      <c r="B158" s="20" t="s">
        <v>141</v>
      </c>
      <c r="C158" s="21" t="str">
        <f>HYPERLINK("https://azurlane.koumakan.jp/Erebus","Erebus")</f>
        <v>Erebus</v>
      </c>
      <c r="D158" s="22" t="s">
        <v>28</v>
      </c>
      <c r="E158" s="22">
        <v>3731.0</v>
      </c>
      <c r="F158" s="22">
        <v>286.0</v>
      </c>
      <c r="G158" s="22">
        <v>0.0</v>
      </c>
      <c r="H158" s="22">
        <v>0.0</v>
      </c>
      <c r="I158" s="22">
        <v>175.0</v>
      </c>
      <c r="J158" s="22">
        <v>147.0</v>
      </c>
      <c r="K158" s="22">
        <v>63.0</v>
      </c>
      <c r="L158" s="22" t="s">
        <v>29</v>
      </c>
      <c r="M158" s="22">
        <v>12.0</v>
      </c>
      <c r="N158" s="22">
        <v>83.0</v>
      </c>
      <c r="O158" s="22">
        <v>91.0</v>
      </c>
      <c r="P158" s="22">
        <v>0.0</v>
      </c>
      <c r="Q158" s="22">
        <v>10.0</v>
      </c>
      <c r="R158" s="22">
        <v>0.0</v>
      </c>
      <c r="S158" s="22">
        <v>0.0</v>
      </c>
      <c r="T158" s="24" t="s">
        <v>104</v>
      </c>
      <c r="U158" s="25" t="s">
        <v>142</v>
      </c>
      <c r="V158" s="26" t="s">
        <v>83</v>
      </c>
      <c r="W158" s="76">
        <v>0.041666666666666664</v>
      </c>
      <c r="X158" s="54"/>
      <c r="Y158" s="29"/>
    </row>
    <row r="159" ht="15.75" customHeight="1">
      <c r="A159" s="30">
        <v>150.0</v>
      </c>
      <c r="B159" s="31" t="s">
        <v>141</v>
      </c>
      <c r="C159" s="32" t="str">
        <f>HYPERLINK("https://azurlane.koumakan.jp/Terror","Terror")</f>
        <v>Terror</v>
      </c>
      <c r="D159" s="33" t="s">
        <v>28</v>
      </c>
      <c r="E159" s="33">
        <v>3731.0</v>
      </c>
      <c r="F159" s="33">
        <v>286.0</v>
      </c>
      <c r="G159" s="33">
        <v>0.0</v>
      </c>
      <c r="H159" s="33">
        <v>0.0</v>
      </c>
      <c r="I159" s="33">
        <v>175.0</v>
      </c>
      <c r="J159" s="33">
        <v>147.0</v>
      </c>
      <c r="K159" s="33">
        <v>63.0</v>
      </c>
      <c r="L159" s="33" t="s">
        <v>29</v>
      </c>
      <c r="M159" s="33">
        <v>12.0</v>
      </c>
      <c r="N159" s="33">
        <v>83.0</v>
      </c>
      <c r="O159" s="33">
        <v>19.0</v>
      </c>
      <c r="P159" s="33">
        <v>0.0</v>
      </c>
      <c r="Q159" s="33">
        <v>10.0</v>
      </c>
      <c r="R159" s="33">
        <v>0.0</v>
      </c>
      <c r="S159" s="33">
        <v>0.0</v>
      </c>
      <c r="T159" s="35" t="s">
        <v>104</v>
      </c>
      <c r="U159" s="36" t="s">
        <v>142</v>
      </c>
      <c r="V159" s="37" t="s">
        <v>83</v>
      </c>
      <c r="W159" s="38">
        <v>0.041666666666666664</v>
      </c>
      <c r="X159" s="53"/>
      <c r="Y159" s="40"/>
    </row>
    <row r="160" ht="15.75" customHeight="1">
      <c r="A160" s="19">
        <v>151.0</v>
      </c>
      <c r="B160" s="20" t="s">
        <v>27</v>
      </c>
      <c r="C160" s="21" t="str">
        <f>HYPERLINK("https://azurlane.koumakan.jp/Fubuki","Fubuki")</f>
        <v>Fubuki</v>
      </c>
      <c r="D160" s="22" t="s">
        <v>28</v>
      </c>
      <c r="E160" s="22">
        <v>1842.0</v>
      </c>
      <c r="F160" s="22">
        <v>63.0</v>
      </c>
      <c r="G160" s="22">
        <v>516.0</v>
      </c>
      <c r="H160" s="22">
        <v>0.0</v>
      </c>
      <c r="I160" s="22">
        <v>149.0</v>
      </c>
      <c r="J160" s="22">
        <v>216.0</v>
      </c>
      <c r="K160" s="22">
        <v>246.0</v>
      </c>
      <c r="L160" s="22" t="s">
        <v>29</v>
      </c>
      <c r="M160" s="22">
        <v>45.0</v>
      </c>
      <c r="N160" s="22">
        <v>206.0</v>
      </c>
      <c r="O160" s="22">
        <v>34.0</v>
      </c>
      <c r="P160" s="22">
        <v>198.0</v>
      </c>
      <c r="Q160" s="22">
        <v>9.0</v>
      </c>
      <c r="R160" s="22">
        <v>0.0</v>
      </c>
      <c r="S160" s="22">
        <v>0.0</v>
      </c>
      <c r="T160" s="24" t="s">
        <v>143</v>
      </c>
      <c r="U160" s="58"/>
      <c r="V160" s="26" t="s">
        <v>29</v>
      </c>
      <c r="W160" s="76">
        <v>0.01597222222222222</v>
      </c>
      <c r="X160" s="28" t="s">
        <v>144</v>
      </c>
      <c r="Y160" s="29"/>
    </row>
    <row r="161" ht="15.75" customHeight="1">
      <c r="A161" s="68">
        <v>152.0</v>
      </c>
      <c r="B161" s="69" t="s">
        <v>27</v>
      </c>
      <c r="C161" s="70" t="s">
        <v>145</v>
      </c>
      <c r="D161" s="35" t="s">
        <v>28</v>
      </c>
      <c r="E161" s="35">
        <v>1842.0</v>
      </c>
      <c r="F161" s="35">
        <v>69.0</v>
      </c>
      <c r="G161" s="35">
        <v>514.0</v>
      </c>
      <c r="H161" s="35">
        <v>0.0</v>
      </c>
      <c r="I161" s="35">
        <v>149.0</v>
      </c>
      <c r="J161" s="35">
        <v>216.0</v>
      </c>
      <c r="K161" s="35">
        <v>251.0</v>
      </c>
      <c r="L161" s="35" t="s">
        <v>29</v>
      </c>
      <c r="M161" s="35">
        <v>45.0</v>
      </c>
      <c r="N161" s="35">
        <v>206.0</v>
      </c>
      <c r="O161" s="35">
        <v>41.0</v>
      </c>
      <c r="P161" s="35">
        <v>202.0</v>
      </c>
      <c r="Q161" s="35">
        <v>9.0</v>
      </c>
      <c r="R161" s="35">
        <v>0.0</v>
      </c>
      <c r="S161" s="35">
        <v>0.0</v>
      </c>
      <c r="T161" s="35" t="s">
        <v>143</v>
      </c>
      <c r="U161" s="71"/>
      <c r="V161" s="35" t="s">
        <v>76</v>
      </c>
      <c r="W161" s="72">
        <v>0.01597222222222222</v>
      </c>
      <c r="X161" s="73" t="s">
        <v>146</v>
      </c>
      <c r="Y161" s="74"/>
    </row>
    <row r="162" ht="15.75" customHeight="1">
      <c r="A162" s="19">
        <v>155.0</v>
      </c>
      <c r="B162" s="20" t="s">
        <v>27</v>
      </c>
      <c r="C162" s="21" t="str">
        <f>HYPERLINK("https://azurlane.koumakan.jp/Ayanami","Ayanami")</f>
        <v>Ayanami</v>
      </c>
      <c r="D162" s="22" t="s">
        <v>28</v>
      </c>
      <c r="E162" s="22">
        <v>1842.0</v>
      </c>
      <c r="F162" s="22">
        <v>66.0</v>
      </c>
      <c r="G162" s="22">
        <v>516.0</v>
      </c>
      <c r="H162" s="22">
        <v>0.0</v>
      </c>
      <c r="I162" s="22">
        <v>149.0</v>
      </c>
      <c r="J162" s="22">
        <v>216.0</v>
      </c>
      <c r="K162" s="22">
        <v>251.0</v>
      </c>
      <c r="L162" s="22" t="s">
        <v>29</v>
      </c>
      <c r="M162" s="22">
        <v>45.0</v>
      </c>
      <c r="N162" s="22">
        <v>206.0</v>
      </c>
      <c r="O162" s="22">
        <v>36.0</v>
      </c>
      <c r="P162" s="22">
        <v>206.0</v>
      </c>
      <c r="Q162" s="22">
        <v>9.0</v>
      </c>
      <c r="R162" s="22">
        <v>0.0</v>
      </c>
      <c r="S162" s="22">
        <v>0.0</v>
      </c>
      <c r="T162" s="24" t="s">
        <v>143</v>
      </c>
      <c r="U162" s="58"/>
      <c r="V162" s="26" t="s">
        <v>29</v>
      </c>
      <c r="W162" s="27">
        <v>0.01597222222222222</v>
      </c>
      <c r="X162" s="28" t="s">
        <v>147</v>
      </c>
      <c r="Y162" s="29"/>
    </row>
    <row r="163" ht="15.75" customHeight="1">
      <c r="A163" s="30">
        <v>155.1</v>
      </c>
      <c r="B163" s="31" t="s">
        <v>27</v>
      </c>
      <c r="C163" s="32" t="str">
        <f>HYPERLINK("https://azurlane.koumakan.jp/Ayanami#Retrofit","Ayanami (R)")</f>
        <v>Ayanami (R)</v>
      </c>
      <c r="D163" s="33" t="s">
        <v>32</v>
      </c>
      <c r="E163" s="33">
        <v>2007.0</v>
      </c>
      <c r="F163" s="33">
        <v>76.0</v>
      </c>
      <c r="G163" s="33">
        <v>576.0</v>
      </c>
      <c r="H163" s="33">
        <v>0.0</v>
      </c>
      <c r="I163" s="33">
        <v>149.0</v>
      </c>
      <c r="J163" s="33">
        <v>231.0</v>
      </c>
      <c r="K163" s="33">
        <v>271.0</v>
      </c>
      <c r="L163" s="33" t="s">
        <v>29</v>
      </c>
      <c r="M163" s="33">
        <v>48.0</v>
      </c>
      <c r="N163" s="33">
        <v>206.0</v>
      </c>
      <c r="O163" s="34">
        <v>36.0</v>
      </c>
      <c r="P163" s="33">
        <v>206.0</v>
      </c>
      <c r="Q163" s="33">
        <v>9.0</v>
      </c>
      <c r="R163" s="33">
        <v>0.0</v>
      </c>
      <c r="S163" s="33">
        <v>0.0</v>
      </c>
      <c r="T163" s="35" t="s">
        <v>143</v>
      </c>
      <c r="U163" s="55" t="s">
        <v>42</v>
      </c>
      <c r="W163" s="56"/>
      <c r="X163" s="53"/>
      <c r="Y163" s="40"/>
    </row>
    <row r="164" ht="15.75" customHeight="1">
      <c r="A164" s="19">
        <v>159.0</v>
      </c>
      <c r="B164" s="20" t="s">
        <v>27</v>
      </c>
      <c r="C164" s="21" t="str">
        <f>HYPERLINK("https://azurlane.koumakan.jp/Akatsuki","Akatsuki")</f>
        <v>Akatsuki</v>
      </c>
      <c r="D164" s="22" t="s">
        <v>36</v>
      </c>
      <c r="E164" s="22">
        <v>1790.0</v>
      </c>
      <c r="F164" s="22">
        <v>61.0</v>
      </c>
      <c r="G164" s="22">
        <v>499.0</v>
      </c>
      <c r="H164" s="22">
        <v>0.0</v>
      </c>
      <c r="I164" s="22">
        <v>153.0</v>
      </c>
      <c r="J164" s="22">
        <v>213.0</v>
      </c>
      <c r="K164" s="22">
        <v>251.0</v>
      </c>
      <c r="L164" s="22" t="s">
        <v>29</v>
      </c>
      <c r="M164" s="22">
        <v>45.0</v>
      </c>
      <c r="N164" s="22">
        <v>201.0</v>
      </c>
      <c r="O164" s="22">
        <v>45.0</v>
      </c>
      <c r="P164" s="22">
        <v>193.0</v>
      </c>
      <c r="Q164" s="22">
        <v>8.0</v>
      </c>
      <c r="R164" s="22">
        <v>0.0</v>
      </c>
      <c r="S164" s="22">
        <v>0.0</v>
      </c>
      <c r="T164" s="24" t="s">
        <v>143</v>
      </c>
      <c r="U164" s="58"/>
      <c r="V164" s="26" t="s">
        <v>85</v>
      </c>
      <c r="W164" s="65"/>
      <c r="X164" s="28" t="s">
        <v>148</v>
      </c>
      <c r="Y164" s="29"/>
    </row>
    <row r="165" ht="15.75" customHeight="1">
      <c r="A165" s="68">
        <v>160.0</v>
      </c>
      <c r="B165" s="69" t="s">
        <v>27</v>
      </c>
      <c r="C165" s="80" t="str">
        <f>HYPERLINK("https://azurlane.koumakan.jp/Hibiki","Hibiki")</f>
        <v>Hibiki</v>
      </c>
      <c r="D165" s="35" t="s">
        <v>28</v>
      </c>
      <c r="E165" s="35">
        <v>1842.0</v>
      </c>
      <c r="F165" s="35">
        <v>63.0</v>
      </c>
      <c r="G165" s="35">
        <v>531.0</v>
      </c>
      <c r="H165" s="35">
        <v>0.0</v>
      </c>
      <c r="I165" s="35">
        <v>157.0</v>
      </c>
      <c r="J165" s="35">
        <v>218.0</v>
      </c>
      <c r="K165" s="35">
        <v>251.0</v>
      </c>
      <c r="L165" s="35" t="s">
        <v>29</v>
      </c>
      <c r="M165" s="35">
        <v>45.0</v>
      </c>
      <c r="N165" s="35">
        <v>201.0</v>
      </c>
      <c r="O165" s="35">
        <v>88.0</v>
      </c>
      <c r="P165" s="35">
        <v>198.0</v>
      </c>
      <c r="Q165" s="35">
        <v>9.0</v>
      </c>
      <c r="R165" s="35">
        <v>0.0</v>
      </c>
      <c r="S165" s="35">
        <v>0.0</v>
      </c>
      <c r="T165" s="35" t="s">
        <v>143</v>
      </c>
      <c r="U165" s="71"/>
      <c r="V165" s="35" t="s">
        <v>76</v>
      </c>
      <c r="W165" s="97"/>
      <c r="X165" s="73" t="s">
        <v>149</v>
      </c>
      <c r="Y165" s="74"/>
    </row>
    <row r="166" ht="15.75" customHeight="1">
      <c r="A166" s="19">
        <v>161.0</v>
      </c>
      <c r="B166" s="20" t="s">
        <v>27</v>
      </c>
      <c r="C166" s="21" t="str">
        <f>HYPERLINK("https://azurlane.koumakan.jp/Ikazuchi","Ikazuchi")</f>
        <v>Ikazuchi</v>
      </c>
      <c r="D166" s="22" t="s">
        <v>36</v>
      </c>
      <c r="E166" s="22">
        <v>1790.0</v>
      </c>
      <c r="F166" s="22">
        <v>61.0</v>
      </c>
      <c r="G166" s="22">
        <v>499.0</v>
      </c>
      <c r="H166" s="22">
        <v>0.0</v>
      </c>
      <c r="I166" s="22">
        <v>153.0</v>
      </c>
      <c r="J166" s="22">
        <v>213.0</v>
      </c>
      <c r="K166" s="22">
        <v>251.0</v>
      </c>
      <c r="L166" s="22" t="s">
        <v>29</v>
      </c>
      <c r="M166" s="22">
        <v>45.0</v>
      </c>
      <c r="N166" s="22">
        <v>201.0</v>
      </c>
      <c r="O166" s="22">
        <v>52.0</v>
      </c>
      <c r="P166" s="22">
        <v>172.0</v>
      </c>
      <c r="Q166" s="22">
        <v>8.0</v>
      </c>
      <c r="R166" s="22">
        <v>0.0</v>
      </c>
      <c r="S166" s="22">
        <v>0.0</v>
      </c>
      <c r="T166" s="24" t="s">
        <v>143</v>
      </c>
      <c r="U166" s="25" t="s">
        <v>150</v>
      </c>
      <c r="V166" s="26" t="s">
        <v>39</v>
      </c>
      <c r="W166" s="98"/>
      <c r="X166" s="54"/>
      <c r="Y166" s="29"/>
    </row>
    <row r="167" ht="15.75" customHeight="1">
      <c r="A167" s="30">
        <v>162.0</v>
      </c>
      <c r="B167" s="31" t="s">
        <v>27</v>
      </c>
      <c r="C167" s="32" t="str">
        <f>HYPERLINK("https://azurlane.koumakan.jp/Inazuma","Inazuma")</f>
        <v>Inazuma</v>
      </c>
      <c r="D167" s="33" t="s">
        <v>36</v>
      </c>
      <c r="E167" s="33">
        <v>1790.0</v>
      </c>
      <c r="F167" s="33">
        <v>61.0</v>
      </c>
      <c r="G167" s="33">
        <v>499.0</v>
      </c>
      <c r="H167" s="33">
        <v>0.0</v>
      </c>
      <c r="I167" s="33">
        <v>153.0</v>
      </c>
      <c r="J167" s="33">
        <v>213.0</v>
      </c>
      <c r="K167" s="33">
        <v>251.0</v>
      </c>
      <c r="L167" s="33" t="s">
        <v>29</v>
      </c>
      <c r="M167" s="33">
        <v>45.0</v>
      </c>
      <c r="N167" s="33">
        <v>201.0</v>
      </c>
      <c r="O167" s="33">
        <v>57.0</v>
      </c>
      <c r="P167" s="33">
        <v>172.0</v>
      </c>
      <c r="Q167" s="33">
        <v>8.0</v>
      </c>
      <c r="R167" s="33">
        <v>0.0</v>
      </c>
      <c r="S167" s="33">
        <v>0.0</v>
      </c>
      <c r="T167" s="35" t="s">
        <v>143</v>
      </c>
      <c r="U167" s="36" t="s">
        <v>151</v>
      </c>
      <c r="V167" s="37" t="s">
        <v>39</v>
      </c>
      <c r="W167" s="52"/>
      <c r="X167" s="53"/>
      <c r="Y167" s="40"/>
    </row>
    <row r="168" ht="15.75" customHeight="1">
      <c r="A168" s="19">
        <v>163.0</v>
      </c>
      <c r="B168" s="20" t="s">
        <v>27</v>
      </c>
      <c r="C168" s="21" t="str">
        <f>HYPERLINK("https://azurlane.koumakan.jp/Shiratsuyu","Shiratsuyu")</f>
        <v>Shiratsuyu</v>
      </c>
      <c r="D168" s="22" t="s">
        <v>36</v>
      </c>
      <c r="E168" s="22">
        <v>1754.0</v>
      </c>
      <c r="F168" s="22">
        <v>66.0</v>
      </c>
      <c r="G168" s="22">
        <v>516.0</v>
      </c>
      <c r="H168" s="22">
        <v>0.0</v>
      </c>
      <c r="I168" s="22">
        <v>153.0</v>
      </c>
      <c r="J168" s="22">
        <v>199.0</v>
      </c>
      <c r="K168" s="22">
        <v>246.0</v>
      </c>
      <c r="L168" s="22" t="s">
        <v>29</v>
      </c>
      <c r="M168" s="22">
        <v>40.0</v>
      </c>
      <c r="N168" s="22">
        <v>205.0</v>
      </c>
      <c r="O168" s="22">
        <v>41.0</v>
      </c>
      <c r="P168" s="22">
        <v>168.0</v>
      </c>
      <c r="Q168" s="22">
        <v>8.0</v>
      </c>
      <c r="R168" s="22">
        <v>0.0</v>
      </c>
      <c r="S168" s="22">
        <v>0.0</v>
      </c>
      <c r="T168" s="24" t="s">
        <v>143</v>
      </c>
      <c r="U168" s="25" t="s">
        <v>75</v>
      </c>
      <c r="V168" s="75" t="s">
        <v>39</v>
      </c>
      <c r="W168" s="98"/>
      <c r="X168" s="54"/>
      <c r="Y168" s="29"/>
    </row>
    <row r="169" ht="15.75" customHeight="1">
      <c r="A169" s="30">
        <v>164.0</v>
      </c>
      <c r="B169" s="31" t="s">
        <v>27</v>
      </c>
      <c r="C169" s="32" t="str">
        <f>HYPERLINK("https://azurlane.koumakan.jp/Yuudachi","Yuudachi")</f>
        <v>Yuudachi</v>
      </c>
      <c r="D169" s="33" t="s">
        <v>32</v>
      </c>
      <c r="E169" s="33">
        <v>1873.0</v>
      </c>
      <c r="F169" s="33">
        <v>71.0</v>
      </c>
      <c r="G169" s="33">
        <v>551.0</v>
      </c>
      <c r="H169" s="33">
        <v>0.0</v>
      </c>
      <c r="I169" s="33">
        <v>160.0</v>
      </c>
      <c r="J169" s="33">
        <v>229.0</v>
      </c>
      <c r="K169" s="33">
        <v>246.0</v>
      </c>
      <c r="L169" s="33" t="s">
        <v>29</v>
      </c>
      <c r="M169" s="33">
        <v>40.0</v>
      </c>
      <c r="N169" s="33">
        <v>215.0</v>
      </c>
      <c r="O169" s="33">
        <v>32.0</v>
      </c>
      <c r="P169" s="33">
        <v>203.0</v>
      </c>
      <c r="Q169" s="33">
        <v>10.0</v>
      </c>
      <c r="R169" s="33">
        <v>0.0</v>
      </c>
      <c r="S169" s="33">
        <v>0.0</v>
      </c>
      <c r="T169" s="35" t="s">
        <v>143</v>
      </c>
      <c r="U169" s="36" t="s">
        <v>152</v>
      </c>
      <c r="V169" s="37" t="s">
        <v>39</v>
      </c>
      <c r="W169" s="52"/>
      <c r="X169" s="53"/>
      <c r="Y169" s="40"/>
    </row>
    <row r="170" ht="15.75" customHeight="1">
      <c r="A170" s="41">
        <v>164.1</v>
      </c>
      <c r="B170" s="42" t="s">
        <v>27</v>
      </c>
      <c r="C170" s="99" t="s">
        <v>153</v>
      </c>
      <c r="D170" s="24" t="s">
        <v>34</v>
      </c>
      <c r="E170" s="24">
        <v>2038.0</v>
      </c>
      <c r="F170" s="24">
        <v>111.0</v>
      </c>
      <c r="G170" s="24">
        <v>591.0</v>
      </c>
      <c r="H170" s="24">
        <v>0.0</v>
      </c>
      <c r="I170" s="24">
        <v>160.0</v>
      </c>
      <c r="J170" s="24">
        <v>229.0</v>
      </c>
      <c r="K170" s="24">
        <v>286.0</v>
      </c>
      <c r="L170" s="24" t="s">
        <v>29</v>
      </c>
      <c r="M170" s="24">
        <v>40.0</v>
      </c>
      <c r="N170" s="24">
        <v>215.0</v>
      </c>
      <c r="O170" s="24">
        <v>32.0</v>
      </c>
      <c r="P170" s="24">
        <v>203.0</v>
      </c>
      <c r="Q170" s="24">
        <v>10.0</v>
      </c>
      <c r="R170" s="24">
        <v>0.0</v>
      </c>
      <c r="S170" s="24">
        <v>0.0</v>
      </c>
      <c r="T170" s="24" t="s">
        <v>143</v>
      </c>
      <c r="U170" s="100" t="s">
        <v>42</v>
      </c>
      <c r="W170" s="60"/>
      <c r="X170" s="47"/>
      <c r="Y170" s="48"/>
    </row>
    <row r="171" ht="15.75" customHeight="1">
      <c r="A171" s="30">
        <v>165.0</v>
      </c>
      <c r="B171" s="31" t="s">
        <v>27</v>
      </c>
      <c r="C171" s="32" t="str">
        <f>HYPERLINK("https://azurlane.koumakan.jp/Shigure","Shigure")</f>
        <v>Shigure</v>
      </c>
      <c r="D171" s="33" t="s">
        <v>28</v>
      </c>
      <c r="E171" s="33">
        <v>1806.0</v>
      </c>
      <c r="F171" s="33">
        <v>66.0</v>
      </c>
      <c r="G171" s="33">
        <v>531.0</v>
      </c>
      <c r="H171" s="33">
        <v>0.0</v>
      </c>
      <c r="I171" s="33">
        <v>153.0</v>
      </c>
      <c r="J171" s="33">
        <v>215.0</v>
      </c>
      <c r="K171" s="33">
        <v>246.0</v>
      </c>
      <c r="L171" s="33" t="s">
        <v>29</v>
      </c>
      <c r="M171" s="33">
        <v>40.0</v>
      </c>
      <c r="N171" s="33">
        <v>205.0</v>
      </c>
      <c r="O171" s="33">
        <v>84.0</v>
      </c>
      <c r="P171" s="33">
        <v>184.0</v>
      </c>
      <c r="Q171" s="33">
        <v>9.0</v>
      </c>
      <c r="R171" s="33">
        <v>0.0</v>
      </c>
      <c r="S171" s="33">
        <v>0.0</v>
      </c>
      <c r="T171" s="35" t="s">
        <v>143</v>
      </c>
      <c r="U171" s="36" t="s">
        <v>123</v>
      </c>
      <c r="V171" s="37" t="s">
        <v>39</v>
      </c>
      <c r="W171" s="52"/>
      <c r="X171" s="53"/>
      <c r="Y171" s="40"/>
    </row>
    <row r="172" ht="15.75" customHeight="1">
      <c r="A172" s="19">
        <v>165.1</v>
      </c>
      <c r="B172" s="20" t="s">
        <v>27</v>
      </c>
      <c r="C172" s="21" t="str">
        <f>HYPERLINK("https://azurlane.koumakan.jp/Shigure#Retrofit","Shigure (R)")</f>
        <v>Shigure (R)</v>
      </c>
      <c r="D172" s="22" t="s">
        <v>32</v>
      </c>
      <c r="E172" s="22">
        <v>1971.0</v>
      </c>
      <c r="F172" s="22">
        <v>86.0</v>
      </c>
      <c r="G172" s="22">
        <v>596.0</v>
      </c>
      <c r="H172" s="22">
        <v>0.0</v>
      </c>
      <c r="I172" s="22">
        <v>153.0</v>
      </c>
      <c r="J172" s="22">
        <v>215.0</v>
      </c>
      <c r="K172" s="22">
        <v>266.0</v>
      </c>
      <c r="L172" s="22" t="s">
        <v>29</v>
      </c>
      <c r="M172" s="22">
        <v>40.0</v>
      </c>
      <c r="N172" s="22">
        <v>205.0</v>
      </c>
      <c r="O172" s="22">
        <v>84.0</v>
      </c>
      <c r="P172" s="22">
        <v>204.0</v>
      </c>
      <c r="Q172" s="22">
        <v>9.0</v>
      </c>
      <c r="R172" s="22">
        <v>0.0</v>
      </c>
      <c r="S172" s="22">
        <v>0.0</v>
      </c>
      <c r="T172" s="24" t="s">
        <v>143</v>
      </c>
      <c r="U172" s="59" t="s">
        <v>42</v>
      </c>
      <c r="W172" s="60"/>
      <c r="X172" s="54"/>
      <c r="Y172" s="29"/>
    </row>
    <row r="173" ht="15.75" customHeight="1">
      <c r="A173" s="30">
        <v>166.0</v>
      </c>
      <c r="B173" s="31" t="s">
        <v>27</v>
      </c>
      <c r="C173" s="32" t="str">
        <f>HYPERLINK("https://azurlane.koumakan.jp/Yukikaze","Yukikaze")</f>
        <v>Yukikaze</v>
      </c>
      <c r="D173" s="33" t="s">
        <v>32</v>
      </c>
      <c r="E173" s="33">
        <v>2280.0</v>
      </c>
      <c r="F173" s="33">
        <v>69.0</v>
      </c>
      <c r="G173" s="33">
        <v>532.0</v>
      </c>
      <c r="H173" s="33">
        <v>0.0</v>
      </c>
      <c r="I173" s="33">
        <v>164.0</v>
      </c>
      <c r="J173" s="33">
        <v>226.0</v>
      </c>
      <c r="K173" s="33">
        <v>248.0</v>
      </c>
      <c r="L173" s="33" t="s">
        <v>29</v>
      </c>
      <c r="M173" s="33">
        <v>42.0</v>
      </c>
      <c r="N173" s="33">
        <v>219.0</v>
      </c>
      <c r="O173" s="33">
        <v>98.0</v>
      </c>
      <c r="P173" s="33">
        <v>213.0</v>
      </c>
      <c r="Q173" s="33">
        <v>10.0</v>
      </c>
      <c r="R173" s="33">
        <v>0.0</v>
      </c>
      <c r="S173" s="33">
        <v>0.0</v>
      </c>
      <c r="T173" s="35" t="s">
        <v>143</v>
      </c>
      <c r="U173" s="57"/>
      <c r="V173" s="61" t="s">
        <v>76</v>
      </c>
      <c r="W173" s="62">
        <v>0.01875</v>
      </c>
      <c r="X173" s="39" t="s">
        <v>154</v>
      </c>
      <c r="Y173" s="40"/>
    </row>
    <row r="174" ht="15.75" customHeight="1">
      <c r="A174" s="19">
        <v>167.0</v>
      </c>
      <c r="B174" s="20" t="s">
        <v>27</v>
      </c>
      <c r="C174" s="21" t="str">
        <f>HYPERLINK("https://azurlane.koumakan.jp/Kagerou","Kagerou")</f>
        <v>Kagerou</v>
      </c>
      <c r="D174" s="22" t="s">
        <v>36</v>
      </c>
      <c r="E174" s="22">
        <v>1931.0</v>
      </c>
      <c r="F174" s="22">
        <v>66.0</v>
      </c>
      <c r="G174" s="22">
        <v>518.0</v>
      </c>
      <c r="H174" s="22">
        <v>0.0</v>
      </c>
      <c r="I174" s="22">
        <v>153.0</v>
      </c>
      <c r="J174" s="22">
        <v>204.0</v>
      </c>
      <c r="K174" s="22">
        <v>248.0</v>
      </c>
      <c r="L174" s="22" t="s">
        <v>29</v>
      </c>
      <c r="M174" s="22">
        <v>42.0</v>
      </c>
      <c r="N174" s="22">
        <v>207.0</v>
      </c>
      <c r="O174" s="22">
        <v>25.0</v>
      </c>
      <c r="P174" s="22">
        <v>192.0</v>
      </c>
      <c r="Q174" s="22">
        <v>8.0</v>
      </c>
      <c r="R174" s="22">
        <v>0.0</v>
      </c>
      <c r="S174" s="22">
        <v>0.0</v>
      </c>
      <c r="T174" s="24" t="s">
        <v>143</v>
      </c>
      <c r="U174" s="25" t="s">
        <v>75</v>
      </c>
      <c r="V174" s="26" t="s">
        <v>39</v>
      </c>
      <c r="W174" s="65"/>
      <c r="X174" s="54"/>
      <c r="Y174" s="29"/>
    </row>
    <row r="175" ht="15.75" customHeight="1">
      <c r="A175" s="30">
        <v>167.1</v>
      </c>
      <c r="B175" s="31" t="s">
        <v>27</v>
      </c>
      <c r="C175" s="32" t="str">
        <f>HYPERLINK("https://azurlane.koumakan.jp/Kagerou#Retrofit","Kagerou (R)")</f>
        <v>Kagerou (R)</v>
      </c>
      <c r="D175" s="33" t="s">
        <v>28</v>
      </c>
      <c r="E175" s="33">
        <v>2096.0</v>
      </c>
      <c r="F175" s="33">
        <v>76.0</v>
      </c>
      <c r="G175" s="33">
        <v>558.0</v>
      </c>
      <c r="H175" s="33">
        <v>0.0</v>
      </c>
      <c r="I175" s="33">
        <v>153.0</v>
      </c>
      <c r="J175" s="33">
        <v>224.0</v>
      </c>
      <c r="K175" s="33">
        <v>248.0</v>
      </c>
      <c r="L175" s="33" t="s">
        <v>29</v>
      </c>
      <c r="M175" s="33">
        <v>45.0</v>
      </c>
      <c r="N175" s="33">
        <v>207.0</v>
      </c>
      <c r="O175" s="34">
        <v>25.0</v>
      </c>
      <c r="P175" s="33">
        <v>212.0</v>
      </c>
      <c r="Q175" s="33">
        <v>8.0</v>
      </c>
      <c r="R175" s="33">
        <v>0.0</v>
      </c>
      <c r="S175" s="33">
        <v>0.0</v>
      </c>
      <c r="T175" s="35" t="s">
        <v>143</v>
      </c>
      <c r="U175" s="55" t="s">
        <v>42</v>
      </c>
      <c r="W175" s="56"/>
      <c r="X175" s="53"/>
      <c r="Y175" s="40"/>
    </row>
    <row r="176" ht="15.75" customHeight="1">
      <c r="A176" s="19">
        <v>168.0</v>
      </c>
      <c r="B176" s="20" t="s">
        <v>27</v>
      </c>
      <c r="C176" s="21" t="str">
        <f>HYPERLINK("https://azurlane.koumakan.jp/Shiranui","Shiranui")</f>
        <v>Shiranui</v>
      </c>
      <c r="D176" s="22" t="s">
        <v>40</v>
      </c>
      <c r="E176" s="22">
        <v>1893.0</v>
      </c>
      <c r="F176" s="22">
        <v>64.0</v>
      </c>
      <c r="G176" s="22">
        <v>508.0</v>
      </c>
      <c r="H176" s="22">
        <v>0.0</v>
      </c>
      <c r="I176" s="22">
        <v>148.0</v>
      </c>
      <c r="J176" s="22">
        <v>199.0</v>
      </c>
      <c r="K176" s="22">
        <v>248.0</v>
      </c>
      <c r="L176" s="22" t="s">
        <v>29</v>
      </c>
      <c r="M176" s="22">
        <v>42.0</v>
      </c>
      <c r="N176" s="22">
        <v>207.0</v>
      </c>
      <c r="O176" s="22">
        <v>25.0</v>
      </c>
      <c r="P176" s="22">
        <v>176.0</v>
      </c>
      <c r="Q176" s="22">
        <v>7.0</v>
      </c>
      <c r="R176" s="22">
        <v>0.0</v>
      </c>
      <c r="S176" s="22">
        <v>0.0</v>
      </c>
      <c r="T176" s="24" t="s">
        <v>143</v>
      </c>
      <c r="U176" s="25" t="s">
        <v>55</v>
      </c>
      <c r="V176" s="75" t="s">
        <v>39</v>
      </c>
      <c r="W176" s="98"/>
      <c r="X176" s="54"/>
      <c r="Y176" s="29"/>
    </row>
    <row r="177" ht="15.75" customHeight="1">
      <c r="A177" s="30">
        <v>168.1</v>
      </c>
      <c r="B177" s="31" t="s">
        <v>27</v>
      </c>
      <c r="C177" s="32" t="str">
        <f>HYPERLINK("https://azurlane.koumakan.jp/Shiranui#Retrofit","Shiranui (R)")</f>
        <v>Shiranui (R)</v>
      </c>
      <c r="D177" s="33" t="s">
        <v>36</v>
      </c>
      <c r="E177" s="33">
        <v>1953.0</v>
      </c>
      <c r="F177" s="33">
        <v>74.0</v>
      </c>
      <c r="G177" s="33">
        <v>568.0</v>
      </c>
      <c r="H177" s="33">
        <v>0.0</v>
      </c>
      <c r="I177" s="33">
        <v>148.0</v>
      </c>
      <c r="J177" s="33">
        <v>199.0</v>
      </c>
      <c r="K177" s="33">
        <v>268.0</v>
      </c>
      <c r="L177" s="33" t="s">
        <v>29</v>
      </c>
      <c r="M177" s="33">
        <v>45.0</v>
      </c>
      <c r="N177" s="33">
        <v>207.0</v>
      </c>
      <c r="O177" s="34">
        <v>25.0</v>
      </c>
      <c r="P177" s="33">
        <v>176.0</v>
      </c>
      <c r="Q177" s="33">
        <v>7.0</v>
      </c>
      <c r="R177" s="33">
        <v>0.0</v>
      </c>
      <c r="S177" s="33">
        <v>0.0</v>
      </c>
      <c r="T177" s="35" t="s">
        <v>143</v>
      </c>
      <c r="U177" s="55" t="s">
        <v>42</v>
      </c>
      <c r="W177" s="56"/>
      <c r="X177" s="53"/>
      <c r="Y177" s="40"/>
    </row>
    <row r="178" ht="15.75" customHeight="1">
      <c r="A178" s="19">
        <v>170.0</v>
      </c>
      <c r="B178" s="20" t="s">
        <v>27</v>
      </c>
      <c r="C178" s="21" t="str">
        <f>HYPERLINK("https://azurlane.koumakan.jp/Nowaki","Nowaki")</f>
        <v>Nowaki</v>
      </c>
      <c r="D178" s="22" t="s">
        <v>28</v>
      </c>
      <c r="E178" s="22">
        <v>2197.0</v>
      </c>
      <c r="F178" s="22">
        <v>66.0</v>
      </c>
      <c r="G178" s="22">
        <v>532.0</v>
      </c>
      <c r="H178" s="22">
        <v>0.0</v>
      </c>
      <c r="I178" s="22">
        <v>157.0</v>
      </c>
      <c r="J178" s="22">
        <v>213.0</v>
      </c>
      <c r="K178" s="22">
        <v>246.0</v>
      </c>
      <c r="L178" s="22" t="s">
        <v>29</v>
      </c>
      <c r="M178" s="22">
        <v>42.0</v>
      </c>
      <c r="N178" s="22">
        <v>215.0</v>
      </c>
      <c r="O178" s="22">
        <v>72.0</v>
      </c>
      <c r="P178" s="22">
        <v>194.0</v>
      </c>
      <c r="Q178" s="22">
        <v>9.0</v>
      </c>
      <c r="R178" s="22">
        <v>0.0</v>
      </c>
      <c r="S178" s="22">
        <v>0.0</v>
      </c>
      <c r="T178" s="24" t="s">
        <v>143</v>
      </c>
      <c r="U178" s="58"/>
      <c r="V178" s="75" t="s">
        <v>60</v>
      </c>
      <c r="W178" s="76">
        <v>0.01875</v>
      </c>
      <c r="X178" s="28" t="s">
        <v>155</v>
      </c>
      <c r="Y178" s="29"/>
    </row>
    <row r="179" ht="15.75" customHeight="1">
      <c r="A179" s="30">
        <v>171.0</v>
      </c>
      <c r="B179" s="31" t="s">
        <v>27</v>
      </c>
      <c r="C179" s="32" t="str">
        <f>HYPERLINK("https://azurlane.koumakan.jp/Hatsuharu","Hatsuharu")</f>
        <v>Hatsuharu</v>
      </c>
      <c r="D179" s="33" t="s">
        <v>36</v>
      </c>
      <c r="E179" s="33">
        <v>1816.0</v>
      </c>
      <c r="F179" s="33">
        <v>60.0</v>
      </c>
      <c r="G179" s="33">
        <v>484.0</v>
      </c>
      <c r="H179" s="33">
        <v>0.0</v>
      </c>
      <c r="I179" s="33">
        <v>148.0</v>
      </c>
      <c r="J179" s="33">
        <v>199.0</v>
      </c>
      <c r="K179" s="33">
        <v>248.0</v>
      </c>
      <c r="L179" s="33" t="s">
        <v>29</v>
      </c>
      <c r="M179" s="33">
        <v>43.0</v>
      </c>
      <c r="N179" s="33">
        <v>203.0</v>
      </c>
      <c r="O179" s="33">
        <v>45.0</v>
      </c>
      <c r="P179" s="33">
        <v>192.0</v>
      </c>
      <c r="Q179" s="33">
        <v>8.0</v>
      </c>
      <c r="R179" s="33">
        <v>0.0</v>
      </c>
      <c r="S179" s="33">
        <v>0.0</v>
      </c>
      <c r="T179" s="35" t="s">
        <v>143</v>
      </c>
      <c r="U179" s="57"/>
      <c r="V179" s="37" t="s">
        <v>29</v>
      </c>
      <c r="W179" s="62">
        <v>0.017361111111111112</v>
      </c>
      <c r="X179" s="39" t="s">
        <v>156</v>
      </c>
      <c r="Y179" s="40"/>
    </row>
    <row r="180" ht="15.75" customHeight="1">
      <c r="A180" s="19">
        <v>171.1</v>
      </c>
      <c r="B180" s="20" t="s">
        <v>27</v>
      </c>
      <c r="C180" s="21" t="str">
        <f>HYPERLINK("https://azurlane.koumakan.jp/Hatsuharu#Retrofit","Hatsuharu (R)")</f>
        <v>Hatsuharu (R)</v>
      </c>
      <c r="D180" s="22" t="s">
        <v>28</v>
      </c>
      <c r="E180" s="22">
        <v>1981.0</v>
      </c>
      <c r="F180" s="22">
        <v>60.0</v>
      </c>
      <c r="G180" s="22">
        <v>524.0</v>
      </c>
      <c r="H180" s="22">
        <v>0.0</v>
      </c>
      <c r="I180" s="22">
        <v>178.0</v>
      </c>
      <c r="J180" s="22">
        <v>199.0</v>
      </c>
      <c r="K180" s="22">
        <v>268.0</v>
      </c>
      <c r="L180" s="22" t="s">
        <v>29</v>
      </c>
      <c r="M180" s="22">
        <v>46.0</v>
      </c>
      <c r="N180" s="22">
        <v>203.0</v>
      </c>
      <c r="O180" s="22">
        <v>45.0</v>
      </c>
      <c r="P180" s="22">
        <v>192.0</v>
      </c>
      <c r="Q180" s="22">
        <v>8.0</v>
      </c>
      <c r="R180" s="22">
        <v>0.0</v>
      </c>
      <c r="S180" s="22">
        <v>0.0</v>
      </c>
      <c r="T180" s="24" t="s">
        <v>143</v>
      </c>
      <c r="U180" s="101" t="s">
        <v>42</v>
      </c>
      <c r="W180" s="60"/>
      <c r="X180" s="28"/>
      <c r="Y180" s="29"/>
    </row>
    <row r="181" ht="15.75" customHeight="1">
      <c r="A181" s="30">
        <v>173.0</v>
      </c>
      <c r="B181" s="31" t="s">
        <v>27</v>
      </c>
      <c r="C181" s="32" t="str">
        <f>HYPERLINK("https://azurlane.koumakan.jp/Wakaba","Wakaba")</f>
        <v>Wakaba</v>
      </c>
      <c r="D181" s="33" t="s">
        <v>36</v>
      </c>
      <c r="E181" s="33">
        <v>1816.0</v>
      </c>
      <c r="F181" s="33">
        <v>60.0</v>
      </c>
      <c r="G181" s="33">
        <v>484.0</v>
      </c>
      <c r="H181" s="33">
        <v>0.0</v>
      </c>
      <c r="I181" s="33">
        <v>148.0</v>
      </c>
      <c r="J181" s="33">
        <v>199.0</v>
      </c>
      <c r="K181" s="33">
        <v>248.0</v>
      </c>
      <c r="L181" s="33" t="s">
        <v>29</v>
      </c>
      <c r="M181" s="33">
        <v>43.0</v>
      </c>
      <c r="N181" s="33">
        <v>203.0</v>
      </c>
      <c r="O181" s="33">
        <v>36.0</v>
      </c>
      <c r="P181" s="33">
        <v>192.0</v>
      </c>
      <c r="Q181" s="33">
        <v>8.0</v>
      </c>
      <c r="R181" s="33">
        <v>0.0</v>
      </c>
      <c r="S181" s="33">
        <v>0.0</v>
      </c>
      <c r="T181" s="35" t="s">
        <v>143</v>
      </c>
      <c r="U181" s="57"/>
      <c r="V181" s="61" t="s">
        <v>29</v>
      </c>
      <c r="W181" s="62">
        <v>0.017361111111111112</v>
      </c>
      <c r="X181" s="39"/>
      <c r="Y181" s="40"/>
    </row>
    <row r="182" ht="15.75" customHeight="1">
      <c r="A182" s="19">
        <v>174.0</v>
      </c>
      <c r="B182" s="20" t="s">
        <v>27</v>
      </c>
      <c r="C182" s="21" t="str">
        <f>HYPERLINK("https://azurlane.koumakan.jp/Hatsushimo","Hatsushimo")</f>
        <v>Hatsushimo</v>
      </c>
      <c r="D182" s="22" t="s">
        <v>36</v>
      </c>
      <c r="E182" s="22">
        <v>1816.0</v>
      </c>
      <c r="F182" s="22">
        <v>60.0</v>
      </c>
      <c r="G182" s="22">
        <v>484.0</v>
      </c>
      <c r="H182" s="22">
        <v>0.0</v>
      </c>
      <c r="I182" s="22">
        <v>148.0</v>
      </c>
      <c r="J182" s="22">
        <v>199.0</v>
      </c>
      <c r="K182" s="22">
        <v>248.0</v>
      </c>
      <c r="L182" s="22" t="s">
        <v>29</v>
      </c>
      <c r="M182" s="22">
        <v>43.0</v>
      </c>
      <c r="N182" s="22">
        <v>203.0</v>
      </c>
      <c r="O182" s="22">
        <v>51.0</v>
      </c>
      <c r="P182" s="22">
        <v>192.0</v>
      </c>
      <c r="Q182" s="22">
        <v>8.0</v>
      </c>
      <c r="R182" s="22">
        <v>0.0</v>
      </c>
      <c r="S182" s="22">
        <v>0.0</v>
      </c>
      <c r="T182" s="24" t="s">
        <v>143</v>
      </c>
      <c r="U182" s="58"/>
      <c r="V182" s="26" t="s">
        <v>29</v>
      </c>
      <c r="W182" s="76">
        <v>0.017361111111111112</v>
      </c>
      <c r="X182" s="54"/>
      <c r="Y182" s="29"/>
    </row>
    <row r="183" ht="15.75" customHeight="1">
      <c r="A183" s="30">
        <v>174.1</v>
      </c>
      <c r="B183" s="31" t="s">
        <v>27</v>
      </c>
      <c r="C183" s="32" t="s">
        <v>157</v>
      </c>
      <c r="D183" s="33" t="s">
        <v>28</v>
      </c>
      <c r="E183" s="33">
        <v>1981.0</v>
      </c>
      <c r="F183" s="33">
        <v>60.0</v>
      </c>
      <c r="G183" s="33">
        <v>524.0</v>
      </c>
      <c r="H183" s="33">
        <v>0.0</v>
      </c>
      <c r="I183" s="33">
        <v>178.0</v>
      </c>
      <c r="J183" s="33">
        <v>199.0</v>
      </c>
      <c r="K183" s="33">
        <v>268.0</v>
      </c>
      <c r="L183" s="35" t="s">
        <v>29</v>
      </c>
      <c r="M183" s="33">
        <v>46.0</v>
      </c>
      <c r="N183" s="33">
        <v>203.0</v>
      </c>
      <c r="O183" s="33">
        <v>51.0</v>
      </c>
      <c r="P183" s="33">
        <v>192.0</v>
      </c>
      <c r="Q183" s="33">
        <v>8.0</v>
      </c>
      <c r="R183" s="33">
        <v>0.0</v>
      </c>
      <c r="S183" s="33">
        <v>0.0</v>
      </c>
      <c r="T183" s="35" t="s">
        <v>143</v>
      </c>
      <c r="U183" s="64" t="s">
        <v>42</v>
      </c>
      <c r="W183" s="56"/>
      <c r="X183" s="53"/>
      <c r="Y183" s="40"/>
    </row>
    <row r="184" ht="15.75" customHeight="1">
      <c r="A184" s="19">
        <v>175.0</v>
      </c>
      <c r="B184" s="20" t="s">
        <v>27</v>
      </c>
      <c r="C184" s="21" t="str">
        <f>HYPERLINK("https://azurlane.koumakan.jp/Ariake","Ariake")</f>
        <v>Ariake</v>
      </c>
      <c r="D184" s="22" t="s">
        <v>36</v>
      </c>
      <c r="E184" s="22">
        <v>1816.0</v>
      </c>
      <c r="F184" s="22">
        <v>60.0</v>
      </c>
      <c r="G184" s="22">
        <v>484.0</v>
      </c>
      <c r="H184" s="22">
        <v>0.0</v>
      </c>
      <c r="I184" s="22">
        <v>148.0</v>
      </c>
      <c r="J184" s="22">
        <v>199.0</v>
      </c>
      <c r="K184" s="22">
        <v>248.0</v>
      </c>
      <c r="L184" s="22" t="s">
        <v>29</v>
      </c>
      <c r="M184" s="22">
        <v>43.0</v>
      </c>
      <c r="N184" s="22">
        <v>203.0</v>
      </c>
      <c r="O184" s="22">
        <v>34.0</v>
      </c>
      <c r="P184" s="22">
        <v>192.0</v>
      </c>
      <c r="Q184" s="22">
        <v>8.0</v>
      </c>
      <c r="R184" s="22">
        <v>0.0</v>
      </c>
      <c r="S184" s="22">
        <v>0.0</v>
      </c>
      <c r="T184" s="24" t="s">
        <v>143</v>
      </c>
      <c r="U184" s="58"/>
      <c r="V184" s="26" t="s">
        <v>29</v>
      </c>
      <c r="W184" s="27">
        <v>0.017361111111111112</v>
      </c>
      <c r="X184" s="28" t="s">
        <v>156</v>
      </c>
      <c r="Y184" s="29"/>
    </row>
    <row r="185" ht="15.75" customHeight="1">
      <c r="A185" s="68">
        <v>175.1</v>
      </c>
      <c r="B185" s="69" t="s">
        <v>27</v>
      </c>
      <c r="C185" s="80" t="s">
        <v>158</v>
      </c>
      <c r="D185" s="35" t="s">
        <v>28</v>
      </c>
      <c r="E185" s="35">
        <v>1981.0</v>
      </c>
      <c r="F185" s="35">
        <v>60.0</v>
      </c>
      <c r="G185" s="35">
        <v>524.0</v>
      </c>
      <c r="H185" s="35">
        <v>0.0</v>
      </c>
      <c r="I185" s="35">
        <v>178.0</v>
      </c>
      <c r="J185" s="35">
        <v>199.0</v>
      </c>
      <c r="K185" s="35">
        <v>268.0</v>
      </c>
      <c r="L185" s="35" t="s">
        <v>29</v>
      </c>
      <c r="M185" s="35">
        <v>46.0</v>
      </c>
      <c r="N185" s="35">
        <v>203.0</v>
      </c>
      <c r="O185" s="35">
        <v>34.0</v>
      </c>
      <c r="P185" s="35">
        <v>192.0</v>
      </c>
      <c r="Q185" s="35">
        <v>8.0</v>
      </c>
      <c r="R185" s="35">
        <v>0.0</v>
      </c>
      <c r="S185" s="35">
        <v>0.0</v>
      </c>
      <c r="T185" s="35" t="s">
        <v>143</v>
      </c>
      <c r="U185" s="96" t="s">
        <v>42</v>
      </c>
      <c r="W185" s="56"/>
      <c r="X185" s="95"/>
      <c r="Y185" s="74"/>
    </row>
    <row r="186" ht="15.75" customHeight="1">
      <c r="A186" s="19">
        <v>176.0</v>
      </c>
      <c r="B186" s="20" t="s">
        <v>27</v>
      </c>
      <c r="C186" s="21" t="str">
        <f>HYPERLINK("https://azurlane.koumakan.jp/Yuugure","Yuugure")</f>
        <v>Yuugure</v>
      </c>
      <c r="D186" s="22" t="s">
        <v>36</v>
      </c>
      <c r="E186" s="22">
        <v>1659.0</v>
      </c>
      <c r="F186" s="22">
        <v>60.0</v>
      </c>
      <c r="G186" s="22">
        <v>484.0</v>
      </c>
      <c r="H186" s="22">
        <v>0.0</v>
      </c>
      <c r="I186" s="22">
        <v>148.0</v>
      </c>
      <c r="J186" s="22">
        <v>199.0</v>
      </c>
      <c r="K186" s="22">
        <v>250.0</v>
      </c>
      <c r="L186" s="22" t="s">
        <v>29</v>
      </c>
      <c r="M186" s="22">
        <v>44.0</v>
      </c>
      <c r="N186" s="22">
        <v>203.0</v>
      </c>
      <c r="O186" s="22">
        <v>32.0</v>
      </c>
      <c r="P186" s="22">
        <v>192.0</v>
      </c>
      <c r="Q186" s="22">
        <v>8.0</v>
      </c>
      <c r="R186" s="22">
        <v>0.0</v>
      </c>
      <c r="S186" s="22">
        <v>0.0</v>
      </c>
      <c r="T186" s="24" t="s">
        <v>143</v>
      </c>
      <c r="U186" s="58"/>
      <c r="V186" s="26" t="s">
        <v>29</v>
      </c>
      <c r="W186" s="76">
        <v>0.017361111111111112</v>
      </c>
      <c r="X186" s="28" t="s">
        <v>156</v>
      </c>
      <c r="Y186" s="29"/>
    </row>
    <row r="187" ht="15.75" customHeight="1">
      <c r="A187" s="30">
        <v>176.1</v>
      </c>
      <c r="B187" s="31" t="s">
        <v>27</v>
      </c>
      <c r="C187" s="32" t="str">
        <f>HYPERLINK("https://azurlane.koumakan.jp/Yuugure#Retrofit","Yuugure (R)")</f>
        <v>Yuugure (R)</v>
      </c>
      <c r="D187" s="33" t="s">
        <v>28</v>
      </c>
      <c r="E187" s="33">
        <v>1824.0</v>
      </c>
      <c r="F187" s="33">
        <v>60.0</v>
      </c>
      <c r="G187" s="33">
        <v>524.0</v>
      </c>
      <c r="H187" s="33">
        <v>0.0</v>
      </c>
      <c r="I187" s="33">
        <v>178.0</v>
      </c>
      <c r="J187" s="33">
        <v>199.0</v>
      </c>
      <c r="K187" s="33">
        <v>270.0</v>
      </c>
      <c r="L187" s="33" t="s">
        <v>29</v>
      </c>
      <c r="M187" s="33">
        <v>47.0</v>
      </c>
      <c r="N187" s="33">
        <v>203.0</v>
      </c>
      <c r="O187" s="33">
        <v>32.0</v>
      </c>
      <c r="P187" s="33">
        <v>192.0</v>
      </c>
      <c r="Q187" s="33">
        <v>8.0</v>
      </c>
      <c r="R187" s="33">
        <v>0.0</v>
      </c>
      <c r="S187" s="33">
        <v>0.0</v>
      </c>
      <c r="T187" s="35" t="s">
        <v>143</v>
      </c>
      <c r="U187" s="55" t="s">
        <v>42</v>
      </c>
      <c r="W187" s="56"/>
      <c r="X187" s="39"/>
      <c r="Y187" s="40"/>
    </row>
    <row r="188" ht="15.75" customHeight="1">
      <c r="A188" s="19">
        <v>177.0</v>
      </c>
      <c r="B188" s="20" t="s">
        <v>27</v>
      </c>
      <c r="C188" s="21" t="str">
        <f>HYPERLINK("https://azurlane.koumakan.jp/Kuroshio","Kuroshio")</f>
        <v>Kuroshio</v>
      </c>
      <c r="D188" s="22" t="s">
        <v>36</v>
      </c>
      <c r="E188" s="22">
        <v>2133.0</v>
      </c>
      <c r="F188" s="22">
        <v>66.0</v>
      </c>
      <c r="G188" s="22">
        <v>518.0</v>
      </c>
      <c r="H188" s="22">
        <v>0.0</v>
      </c>
      <c r="I188" s="22">
        <v>153.0</v>
      </c>
      <c r="J188" s="22">
        <v>204.0</v>
      </c>
      <c r="K188" s="22">
        <v>246.0</v>
      </c>
      <c r="L188" s="22" t="s">
        <v>29</v>
      </c>
      <c r="M188" s="22">
        <v>42.0</v>
      </c>
      <c r="N188" s="22">
        <v>207.0</v>
      </c>
      <c r="O188" s="22">
        <v>34.0</v>
      </c>
      <c r="P188" s="22">
        <v>192.0</v>
      </c>
      <c r="Q188" s="22">
        <v>8.0</v>
      </c>
      <c r="R188" s="22">
        <v>0.0</v>
      </c>
      <c r="S188" s="22">
        <v>0.0</v>
      </c>
      <c r="T188" s="24" t="s">
        <v>143</v>
      </c>
      <c r="U188" s="58"/>
      <c r="V188" s="26" t="s">
        <v>76</v>
      </c>
      <c r="W188" s="76">
        <v>0.01875</v>
      </c>
      <c r="X188" s="28" t="s">
        <v>159</v>
      </c>
      <c r="Y188" s="29"/>
    </row>
    <row r="189" ht="15.75" customHeight="1">
      <c r="A189" s="30">
        <v>178.0</v>
      </c>
      <c r="B189" s="31" t="s">
        <v>27</v>
      </c>
      <c r="C189" s="32" t="str">
        <f>HYPERLINK("https://azurlane.koumakan.jp/Oyashio","Oyashio")</f>
        <v>Oyashio</v>
      </c>
      <c r="D189" s="33" t="s">
        <v>36</v>
      </c>
      <c r="E189" s="33">
        <v>2133.0</v>
      </c>
      <c r="F189" s="33">
        <v>66.0</v>
      </c>
      <c r="G189" s="33">
        <v>518.0</v>
      </c>
      <c r="H189" s="33">
        <v>0.0</v>
      </c>
      <c r="I189" s="33">
        <v>153.0</v>
      </c>
      <c r="J189" s="33">
        <v>204.0</v>
      </c>
      <c r="K189" s="33">
        <v>246.0</v>
      </c>
      <c r="L189" s="33" t="s">
        <v>29</v>
      </c>
      <c r="M189" s="33">
        <v>42.0</v>
      </c>
      <c r="N189" s="33">
        <v>207.0</v>
      </c>
      <c r="O189" s="33">
        <v>34.0</v>
      </c>
      <c r="P189" s="33">
        <v>192.0</v>
      </c>
      <c r="Q189" s="33">
        <v>8.0</v>
      </c>
      <c r="R189" s="33">
        <v>0.0</v>
      </c>
      <c r="S189" s="33">
        <v>0.0</v>
      </c>
      <c r="T189" s="35" t="s">
        <v>143</v>
      </c>
      <c r="U189" s="57"/>
      <c r="V189" s="61" t="s">
        <v>76</v>
      </c>
      <c r="W189" s="62">
        <v>0.01875</v>
      </c>
      <c r="X189" s="39" t="s">
        <v>159</v>
      </c>
      <c r="Y189" s="40"/>
    </row>
    <row r="190" ht="15.75" customHeight="1">
      <c r="A190" s="19">
        <v>179.0</v>
      </c>
      <c r="B190" s="20" t="s">
        <v>52</v>
      </c>
      <c r="C190" s="21" t="str">
        <f>HYPERLINK("https://azurlane.koumakan.jp/Yuubari","Yuubari")</f>
        <v>Yuubari</v>
      </c>
      <c r="D190" s="22" t="s">
        <v>28</v>
      </c>
      <c r="E190" s="22">
        <v>2228.0</v>
      </c>
      <c r="F190" s="22">
        <v>133.0</v>
      </c>
      <c r="G190" s="22">
        <v>280.0</v>
      </c>
      <c r="H190" s="22">
        <v>0.0</v>
      </c>
      <c r="I190" s="22">
        <v>314.0</v>
      </c>
      <c r="J190" s="22">
        <v>185.0</v>
      </c>
      <c r="K190" s="22">
        <v>124.0</v>
      </c>
      <c r="L190" s="22" t="s">
        <v>29</v>
      </c>
      <c r="M190" s="22">
        <v>35.0</v>
      </c>
      <c r="N190" s="22">
        <v>143.0</v>
      </c>
      <c r="O190" s="22">
        <v>53.0</v>
      </c>
      <c r="P190" s="22">
        <v>85.0</v>
      </c>
      <c r="Q190" s="22">
        <v>8.0</v>
      </c>
      <c r="R190" s="22">
        <v>0.0</v>
      </c>
      <c r="S190" s="22">
        <v>0.0</v>
      </c>
      <c r="T190" s="24" t="s">
        <v>143</v>
      </c>
      <c r="U190" s="58"/>
      <c r="V190" s="26" t="s">
        <v>29</v>
      </c>
      <c r="W190" s="76">
        <v>0.05</v>
      </c>
      <c r="X190" s="28" t="s">
        <v>160</v>
      </c>
      <c r="Y190" s="29"/>
    </row>
    <row r="191" ht="15.75" customHeight="1">
      <c r="A191" s="49">
        <v>179.1</v>
      </c>
      <c r="B191" s="50" t="s">
        <v>52</v>
      </c>
      <c r="C191" s="51" t="str">
        <f>HYPERLINK("https://azurlane.koumakan.jp/Yuubari#Retrofit","Yuubari (R)")</f>
        <v>Yuubari (R)</v>
      </c>
      <c r="D191" s="37" t="s">
        <v>32</v>
      </c>
      <c r="E191" s="33">
        <v>2393.0</v>
      </c>
      <c r="F191" s="33">
        <v>163.0</v>
      </c>
      <c r="G191" s="33">
        <v>290.0</v>
      </c>
      <c r="H191" s="33">
        <v>0.0</v>
      </c>
      <c r="I191" s="33">
        <v>339.0</v>
      </c>
      <c r="J191" s="33">
        <v>205.0</v>
      </c>
      <c r="K191" s="33">
        <v>124.0</v>
      </c>
      <c r="L191" s="33" t="s">
        <v>29</v>
      </c>
      <c r="M191" s="33">
        <v>35.0</v>
      </c>
      <c r="N191" s="33">
        <v>163.0</v>
      </c>
      <c r="O191" s="33">
        <v>53.0</v>
      </c>
      <c r="P191" s="33">
        <v>85.0</v>
      </c>
      <c r="Q191" s="33">
        <v>8.0</v>
      </c>
      <c r="R191" s="33">
        <v>0.0</v>
      </c>
      <c r="S191" s="33">
        <v>0.0</v>
      </c>
      <c r="T191" s="35" t="s">
        <v>143</v>
      </c>
      <c r="U191" s="55" t="s">
        <v>42</v>
      </c>
      <c r="W191" s="56"/>
      <c r="X191" s="53"/>
      <c r="Y191" s="40"/>
    </row>
    <row r="192" ht="15.75" customHeight="1">
      <c r="A192" s="19">
        <v>182.0</v>
      </c>
      <c r="B192" s="20" t="s">
        <v>52</v>
      </c>
      <c r="C192" s="21" t="str">
        <f>HYPERLINK("https://azurlane.koumakan.jp/Nagara","Nagara")</f>
        <v>Nagara</v>
      </c>
      <c r="D192" s="22" t="s">
        <v>40</v>
      </c>
      <c r="E192" s="22">
        <v>2959.0</v>
      </c>
      <c r="F192" s="22">
        <v>142.0</v>
      </c>
      <c r="G192" s="22">
        <v>282.0</v>
      </c>
      <c r="H192" s="22">
        <v>0.0</v>
      </c>
      <c r="I192" s="22">
        <v>284.0</v>
      </c>
      <c r="J192" s="22">
        <v>175.0</v>
      </c>
      <c r="K192" s="22">
        <v>132.0</v>
      </c>
      <c r="L192" s="22" t="s">
        <v>29</v>
      </c>
      <c r="M192" s="22">
        <v>36.0</v>
      </c>
      <c r="N192" s="22">
        <v>149.0</v>
      </c>
      <c r="O192" s="22">
        <v>36.0</v>
      </c>
      <c r="P192" s="22">
        <v>85.0</v>
      </c>
      <c r="Q192" s="22">
        <v>8.0</v>
      </c>
      <c r="R192" s="22">
        <v>0.0</v>
      </c>
      <c r="S192" s="22">
        <v>0.0</v>
      </c>
      <c r="T192" s="24" t="s">
        <v>143</v>
      </c>
      <c r="U192" s="58"/>
      <c r="V192" s="75" t="s">
        <v>29</v>
      </c>
      <c r="W192" s="76">
        <v>0.04513888888888889</v>
      </c>
      <c r="X192" s="54"/>
      <c r="Y192" s="29"/>
    </row>
    <row r="193" ht="15.75" customHeight="1">
      <c r="A193" s="30">
        <v>183.0</v>
      </c>
      <c r="B193" s="31" t="s">
        <v>52</v>
      </c>
      <c r="C193" s="32" t="str">
        <f>HYPERLINK("https://azurlane.koumakan.jp/Isuzu","Isuzu")</f>
        <v>Isuzu</v>
      </c>
      <c r="D193" s="33" t="s">
        <v>36</v>
      </c>
      <c r="E193" s="33">
        <v>3289.0</v>
      </c>
      <c r="F193" s="33">
        <v>121.0</v>
      </c>
      <c r="G193" s="33">
        <v>223.0</v>
      </c>
      <c r="H193" s="33">
        <v>0.0</v>
      </c>
      <c r="I193" s="33">
        <v>350.0</v>
      </c>
      <c r="J193" s="33">
        <v>178.0</v>
      </c>
      <c r="K193" s="33">
        <v>119.0</v>
      </c>
      <c r="L193" s="33" t="s">
        <v>29</v>
      </c>
      <c r="M193" s="33">
        <v>36.0</v>
      </c>
      <c r="N193" s="33">
        <v>149.0</v>
      </c>
      <c r="O193" s="33">
        <v>33.0</v>
      </c>
      <c r="P193" s="33">
        <v>100.0</v>
      </c>
      <c r="Q193" s="33">
        <v>9.0</v>
      </c>
      <c r="R193" s="33">
        <v>0.0</v>
      </c>
      <c r="S193" s="33">
        <v>0.0</v>
      </c>
      <c r="T193" s="35" t="s">
        <v>143</v>
      </c>
      <c r="U193" s="36" t="s">
        <v>161</v>
      </c>
      <c r="V193" s="37" t="s">
        <v>39</v>
      </c>
      <c r="W193" s="102"/>
      <c r="X193" s="39" t="s">
        <v>162</v>
      </c>
      <c r="Y193" s="40"/>
    </row>
    <row r="194" ht="15.75" customHeight="1">
      <c r="A194" s="19">
        <v>183.1</v>
      </c>
      <c r="B194" s="20" t="s">
        <v>52</v>
      </c>
      <c r="C194" s="21" t="str">
        <f>HYPERLINK("https://azurlane.koumakan.jp/Isuzu#Retrofit","Isuzu (R)")</f>
        <v>Isuzu (R)</v>
      </c>
      <c r="D194" s="22" t="s">
        <v>28</v>
      </c>
      <c r="E194" s="22">
        <v>3529.0</v>
      </c>
      <c r="F194" s="22">
        <v>121.0</v>
      </c>
      <c r="G194" s="22">
        <v>233.0</v>
      </c>
      <c r="H194" s="22">
        <v>0.0</v>
      </c>
      <c r="I194" s="22">
        <v>400.0</v>
      </c>
      <c r="J194" s="22">
        <v>178.0</v>
      </c>
      <c r="K194" s="22">
        <v>119.0</v>
      </c>
      <c r="L194" s="22" t="s">
        <v>29</v>
      </c>
      <c r="M194" s="22">
        <v>36.0</v>
      </c>
      <c r="N194" s="22">
        <v>164.0</v>
      </c>
      <c r="O194" s="22">
        <v>33.0</v>
      </c>
      <c r="P194" s="22">
        <v>135.0</v>
      </c>
      <c r="Q194" s="22">
        <v>9.0</v>
      </c>
      <c r="R194" s="22">
        <v>0.0</v>
      </c>
      <c r="S194" s="22">
        <v>0.0</v>
      </c>
      <c r="T194" s="24" t="s">
        <v>143</v>
      </c>
      <c r="U194" s="101" t="s">
        <v>42</v>
      </c>
      <c r="W194" s="60"/>
      <c r="X194" s="28"/>
      <c r="Y194" s="29"/>
    </row>
    <row r="195" ht="15.75" customHeight="1">
      <c r="A195" s="68">
        <v>185.0</v>
      </c>
      <c r="B195" s="69" t="s">
        <v>52</v>
      </c>
      <c r="C195" s="70" t="s">
        <v>163</v>
      </c>
      <c r="D195" s="35" t="s">
        <v>28</v>
      </c>
      <c r="E195" s="35">
        <v>2965.0</v>
      </c>
      <c r="F195" s="35">
        <v>148.0</v>
      </c>
      <c r="G195" s="35">
        <v>296.0</v>
      </c>
      <c r="H195" s="35">
        <v>0.0</v>
      </c>
      <c r="I195" s="35">
        <v>310.0</v>
      </c>
      <c r="J195" s="35">
        <v>185.0</v>
      </c>
      <c r="K195" s="35">
        <v>124.0</v>
      </c>
      <c r="L195" s="35" t="s">
        <v>29</v>
      </c>
      <c r="M195" s="35">
        <v>36.0</v>
      </c>
      <c r="N195" s="35">
        <v>149.0</v>
      </c>
      <c r="O195" s="35">
        <v>40.0</v>
      </c>
      <c r="P195" s="35">
        <v>143.0</v>
      </c>
      <c r="Q195" s="35">
        <v>10.0</v>
      </c>
      <c r="R195" s="35">
        <v>0.0</v>
      </c>
      <c r="S195" s="35">
        <v>0.0</v>
      </c>
      <c r="T195" s="35" t="s">
        <v>143</v>
      </c>
      <c r="U195" s="71"/>
      <c r="V195" s="35" t="s">
        <v>76</v>
      </c>
      <c r="W195" s="83"/>
      <c r="X195" s="95"/>
      <c r="Y195" s="74"/>
    </row>
    <row r="196" ht="15.75" customHeight="1">
      <c r="A196" s="41">
        <v>186.0</v>
      </c>
      <c r="B196" s="42" t="s">
        <v>52</v>
      </c>
      <c r="C196" s="43" t="str">
        <f>HYPERLINK("https://azurlane.koumakan.jp/Kinu","Kinu")</f>
        <v>Kinu</v>
      </c>
      <c r="D196" s="24" t="s">
        <v>28</v>
      </c>
      <c r="E196" s="24">
        <v>2953.0</v>
      </c>
      <c r="F196" s="24">
        <v>150.0</v>
      </c>
      <c r="G196" s="24">
        <v>293.0</v>
      </c>
      <c r="H196" s="24">
        <v>0.0</v>
      </c>
      <c r="I196" s="24">
        <v>310.0</v>
      </c>
      <c r="J196" s="24">
        <v>183.0</v>
      </c>
      <c r="K196" s="24">
        <v>124.0</v>
      </c>
      <c r="L196" s="24" t="s">
        <v>29</v>
      </c>
      <c r="M196" s="24">
        <v>36.0</v>
      </c>
      <c r="N196" s="24">
        <v>149.0</v>
      </c>
      <c r="O196" s="24">
        <v>52.0</v>
      </c>
      <c r="P196" s="24">
        <v>125.0</v>
      </c>
      <c r="Q196" s="24">
        <v>10.0</v>
      </c>
      <c r="R196" s="24">
        <v>0.0</v>
      </c>
      <c r="S196" s="24">
        <v>0.0</v>
      </c>
      <c r="T196" s="24" t="s">
        <v>143</v>
      </c>
      <c r="U196" s="45"/>
      <c r="V196" s="103" t="s">
        <v>76</v>
      </c>
      <c r="W196" s="104">
        <v>0.04513888888888889</v>
      </c>
      <c r="X196" s="67" t="s">
        <v>164</v>
      </c>
      <c r="Y196" s="48"/>
    </row>
    <row r="197" ht="15.75" customHeight="1">
      <c r="A197" s="68">
        <v>186.1</v>
      </c>
      <c r="B197" s="69" t="s">
        <v>52</v>
      </c>
      <c r="C197" s="80" t="str">
        <f>HYPERLINK("https://azurlane.koumakan.jp/Kinu#Retrofit","Kinu (R)")</f>
        <v>Kinu (R)</v>
      </c>
      <c r="D197" s="35" t="s">
        <v>32</v>
      </c>
      <c r="E197" s="35">
        <v>3193.0</v>
      </c>
      <c r="F197" s="35">
        <v>160.0</v>
      </c>
      <c r="G197" s="35">
        <v>358.0</v>
      </c>
      <c r="H197" s="35">
        <v>0.0</v>
      </c>
      <c r="I197" s="35">
        <v>325.0</v>
      </c>
      <c r="J197" s="35">
        <v>188.0</v>
      </c>
      <c r="K197" s="35">
        <v>124.0</v>
      </c>
      <c r="L197" s="35" t="s">
        <v>29</v>
      </c>
      <c r="M197" s="35">
        <v>36.0</v>
      </c>
      <c r="N197" s="35">
        <v>154.0</v>
      </c>
      <c r="O197" s="35">
        <v>52.0</v>
      </c>
      <c r="P197" s="35">
        <v>125.0</v>
      </c>
      <c r="Q197" s="35">
        <v>10.0</v>
      </c>
      <c r="R197" s="35">
        <v>0.0</v>
      </c>
      <c r="S197" s="35">
        <v>0.0</v>
      </c>
      <c r="T197" s="35" t="s">
        <v>143</v>
      </c>
      <c r="U197" s="94" t="s">
        <v>42</v>
      </c>
      <c r="W197" s="56"/>
      <c r="X197" s="73"/>
      <c r="Y197" s="74"/>
    </row>
    <row r="198" ht="15.75" customHeight="1">
      <c r="A198" s="19">
        <v>187.0</v>
      </c>
      <c r="B198" s="20" t="s">
        <v>52</v>
      </c>
      <c r="C198" s="21" t="str">
        <f>HYPERLINK("https://azurlane.koumakan.jp/Abukuma","Abukuma")</f>
        <v>Abukuma</v>
      </c>
      <c r="D198" s="22" t="s">
        <v>40</v>
      </c>
      <c r="E198" s="22">
        <v>2959.0</v>
      </c>
      <c r="F198" s="22">
        <v>142.0</v>
      </c>
      <c r="G198" s="22">
        <v>282.0</v>
      </c>
      <c r="H198" s="22">
        <v>0.0</v>
      </c>
      <c r="I198" s="22">
        <v>284.0</v>
      </c>
      <c r="J198" s="22">
        <v>175.0</v>
      </c>
      <c r="K198" s="22">
        <v>132.0</v>
      </c>
      <c r="L198" s="22" t="s">
        <v>29</v>
      </c>
      <c r="M198" s="22">
        <v>36.0</v>
      </c>
      <c r="N198" s="22">
        <v>149.0</v>
      </c>
      <c r="O198" s="22">
        <v>43.0</v>
      </c>
      <c r="P198" s="22">
        <v>94.0</v>
      </c>
      <c r="Q198" s="22">
        <v>8.0</v>
      </c>
      <c r="R198" s="22">
        <v>0.0</v>
      </c>
      <c r="S198" s="22">
        <v>0.0</v>
      </c>
      <c r="T198" s="24" t="s">
        <v>143</v>
      </c>
      <c r="U198" s="25" t="s">
        <v>151</v>
      </c>
      <c r="V198" s="75" t="s">
        <v>39</v>
      </c>
      <c r="W198" s="98"/>
      <c r="X198" s="54"/>
      <c r="Y198" s="29"/>
    </row>
    <row r="199" ht="15.75" customHeight="1">
      <c r="A199" s="30">
        <v>187.1</v>
      </c>
      <c r="B199" s="31" t="s">
        <v>52</v>
      </c>
      <c r="C199" s="32" t="str">
        <f>HYPERLINK("https://azurlane.koumakan.jp/Abukuma#Retrofit","Abukuma (R)")</f>
        <v>Abukuma (R)</v>
      </c>
      <c r="D199" s="33" t="s">
        <v>36</v>
      </c>
      <c r="E199" s="33">
        <v>3199.0</v>
      </c>
      <c r="F199" s="33">
        <v>162.0</v>
      </c>
      <c r="G199" s="33">
        <v>347.0</v>
      </c>
      <c r="H199" s="33">
        <v>0.0</v>
      </c>
      <c r="I199" s="33">
        <v>284.0</v>
      </c>
      <c r="J199" s="33">
        <v>180.0</v>
      </c>
      <c r="K199" s="33">
        <v>132.0</v>
      </c>
      <c r="L199" s="33" t="s">
        <v>29</v>
      </c>
      <c r="M199" s="33">
        <v>36.0</v>
      </c>
      <c r="N199" s="33">
        <v>149.0</v>
      </c>
      <c r="O199" s="34">
        <v>43.0</v>
      </c>
      <c r="P199" s="33">
        <v>94.0</v>
      </c>
      <c r="Q199" s="33">
        <v>8.0</v>
      </c>
      <c r="R199" s="33">
        <v>0.0</v>
      </c>
      <c r="S199" s="33">
        <v>0.0</v>
      </c>
      <c r="T199" s="35" t="s">
        <v>143</v>
      </c>
      <c r="U199" s="55" t="s">
        <v>42</v>
      </c>
      <c r="W199" s="56"/>
      <c r="X199" s="53"/>
      <c r="Y199" s="40"/>
    </row>
    <row r="200" ht="15.75" customHeight="1">
      <c r="A200" s="19">
        <v>188.0</v>
      </c>
      <c r="B200" s="20" t="s">
        <v>52</v>
      </c>
      <c r="C200" s="21" t="str">
        <f>HYPERLINK("https://azurlane.koumakan.jp/Mogami","Mogami")</f>
        <v>Mogami</v>
      </c>
      <c r="D200" s="22" t="s">
        <v>28</v>
      </c>
      <c r="E200" s="22">
        <v>4109.0</v>
      </c>
      <c r="F200" s="22">
        <v>204.0</v>
      </c>
      <c r="G200" s="22">
        <v>188.0</v>
      </c>
      <c r="H200" s="22">
        <v>0.0</v>
      </c>
      <c r="I200" s="22">
        <v>190.0</v>
      </c>
      <c r="J200" s="22">
        <v>191.0</v>
      </c>
      <c r="K200" s="22">
        <v>85.0</v>
      </c>
      <c r="L200" s="22" t="s">
        <v>71</v>
      </c>
      <c r="M200" s="22">
        <v>29.0</v>
      </c>
      <c r="N200" s="22">
        <v>153.0</v>
      </c>
      <c r="O200" s="22">
        <v>14.0</v>
      </c>
      <c r="P200" s="22">
        <v>46.0</v>
      </c>
      <c r="Q200" s="22">
        <v>11.0</v>
      </c>
      <c r="R200" s="22">
        <v>0.0</v>
      </c>
      <c r="S200" s="22">
        <v>0.0</v>
      </c>
      <c r="T200" s="24" t="s">
        <v>143</v>
      </c>
      <c r="U200" s="58"/>
      <c r="V200" s="26" t="s">
        <v>29</v>
      </c>
      <c r="W200" s="76">
        <v>0.075</v>
      </c>
      <c r="X200" s="28" t="s">
        <v>165</v>
      </c>
      <c r="Y200" s="29"/>
    </row>
    <row r="201" ht="15.75" customHeight="1">
      <c r="A201" s="30">
        <v>188.1</v>
      </c>
      <c r="B201" s="31" t="s">
        <v>66</v>
      </c>
      <c r="C201" s="32" t="str">
        <f>HYPERLINK("https://azurlane.koumakan.jp/Mogami#Retrofit","Mogami (R)")</f>
        <v>Mogami (R)</v>
      </c>
      <c r="D201" s="33" t="s">
        <v>32</v>
      </c>
      <c r="E201" s="33">
        <v>4724.0</v>
      </c>
      <c r="F201" s="33">
        <v>267.0</v>
      </c>
      <c r="G201" s="33">
        <v>205.0</v>
      </c>
      <c r="H201" s="33">
        <v>0.0</v>
      </c>
      <c r="I201" s="33">
        <v>237.0</v>
      </c>
      <c r="J201" s="33">
        <v>190.0</v>
      </c>
      <c r="K201" s="33">
        <v>83.0</v>
      </c>
      <c r="L201" s="33" t="s">
        <v>71</v>
      </c>
      <c r="M201" s="33">
        <v>29.0</v>
      </c>
      <c r="N201" s="33">
        <v>132.0</v>
      </c>
      <c r="O201" s="34">
        <v>14.0</v>
      </c>
      <c r="P201" s="33">
        <v>0.0</v>
      </c>
      <c r="Q201" s="33">
        <v>11.0</v>
      </c>
      <c r="R201" s="33">
        <v>0.0</v>
      </c>
      <c r="S201" s="33">
        <v>0.0</v>
      </c>
      <c r="T201" s="35" t="s">
        <v>143</v>
      </c>
      <c r="U201" s="55" t="s">
        <v>42</v>
      </c>
      <c r="W201" s="56"/>
      <c r="X201" s="53"/>
      <c r="Y201" s="40"/>
    </row>
    <row r="202" ht="15.75" customHeight="1">
      <c r="A202" s="19">
        <v>189.0</v>
      </c>
      <c r="B202" s="20" t="s">
        <v>52</v>
      </c>
      <c r="C202" s="21" t="str">
        <f>HYPERLINK("https://azurlane.koumakan.jp/Mikuma","Mikuma")</f>
        <v>Mikuma</v>
      </c>
      <c r="D202" s="22" t="s">
        <v>28</v>
      </c>
      <c r="E202" s="22">
        <v>4109.0</v>
      </c>
      <c r="F202" s="22">
        <v>204.0</v>
      </c>
      <c r="G202" s="22">
        <v>190.0</v>
      </c>
      <c r="H202" s="22">
        <v>0.0</v>
      </c>
      <c r="I202" s="22">
        <v>190.0</v>
      </c>
      <c r="J202" s="22">
        <v>191.0</v>
      </c>
      <c r="K202" s="22">
        <v>85.0</v>
      </c>
      <c r="L202" s="22" t="s">
        <v>71</v>
      </c>
      <c r="M202" s="22">
        <v>29.0</v>
      </c>
      <c r="N202" s="22">
        <v>153.0</v>
      </c>
      <c r="O202" s="22">
        <v>13.0</v>
      </c>
      <c r="P202" s="22">
        <v>46.0</v>
      </c>
      <c r="Q202" s="22">
        <v>11.0</v>
      </c>
      <c r="R202" s="22">
        <v>0.0</v>
      </c>
      <c r="S202" s="22">
        <v>0.0</v>
      </c>
      <c r="T202" s="24" t="s">
        <v>143</v>
      </c>
      <c r="U202" s="58"/>
      <c r="V202" s="26" t="s">
        <v>29</v>
      </c>
      <c r="W202" s="65"/>
      <c r="X202" s="28" t="s">
        <v>166</v>
      </c>
      <c r="Y202" s="29"/>
    </row>
    <row r="203" ht="15.75" customHeight="1">
      <c r="A203" s="30">
        <v>190.0</v>
      </c>
      <c r="B203" s="31" t="s">
        <v>66</v>
      </c>
      <c r="C203" s="32" t="str">
        <f>HYPERLINK("https://azurlane.koumakan.jp/Furutaka","Furutaka")</f>
        <v>Furutaka</v>
      </c>
      <c r="D203" s="33" t="s">
        <v>40</v>
      </c>
      <c r="E203" s="33">
        <v>3518.0</v>
      </c>
      <c r="F203" s="33">
        <v>218.0</v>
      </c>
      <c r="G203" s="33">
        <v>193.0</v>
      </c>
      <c r="H203" s="33">
        <v>0.0</v>
      </c>
      <c r="I203" s="33">
        <v>164.0</v>
      </c>
      <c r="J203" s="33">
        <v>166.0</v>
      </c>
      <c r="K203" s="33">
        <v>78.0</v>
      </c>
      <c r="L203" s="33" t="s">
        <v>71</v>
      </c>
      <c r="M203" s="33">
        <v>31.0</v>
      </c>
      <c r="N203" s="33">
        <v>114.0</v>
      </c>
      <c r="O203" s="33">
        <v>34.0</v>
      </c>
      <c r="P203" s="33">
        <v>0.0</v>
      </c>
      <c r="Q203" s="33">
        <v>9.0</v>
      </c>
      <c r="R203" s="33">
        <v>0.0</v>
      </c>
      <c r="S203" s="33">
        <v>0.0</v>
      </c>
      <c r="T203" s="35" t="s">
        <v>143</v>
      </c>
      <c r="U203" s="36" t="s">
        <v>75</v>
      </c>
      <c r="V203" s="61" t="s">
        <v>39</v>
      </c>
      <c r="W203" s="102"/>
      <c r="X203" s="53"/>
      <c r="Y203" s="40"/>
    </row>
    <row r="204" ht="15.75" customHeight="1">
      <c r="A204" s="19">
        <v>190.1</v>
      </c>
      <c r="B204" s="20" t="s">
        <v>66</v>
      </c>
      <c r="C204" s="21" t="str">
        <f>HYPERLINK("https://azurlane.koumakan.jp/Furutaka#Retrofit","Furutaka (R)")</f>
        <v>Furutaka (R)</v>
      </c>
      <c r="D204" s="22" t="s">
        <v>36</v>
      </c>
      <c r="E204" s="22">
        <v>3798.0</v>
      </c>
      <c r="F204" s="22">
        <v>248.0</v>
      </c>
      <c r="G204" s="22">
        <v>238.0</v>
      </c>
      <c r="H204" s="22">
        <v>0.0</v>
      </c>
      <c r="I204" s="22">
        <v>179.0</v>
      </c>
      <c r="J204" s="22">
        <v>171.0</v>
      </c>
      <c r="K204" s="22">
        <v>78.0</v>
      </c>
      <c r="L204" s="22" t="s">
        <v>71</v>
      </c>
      <c r="M204" s="22">
        <v>31.0</v>
      </c>
      <c r="N204" s="22">
        <v>114.0</v>
      </c>
      <c r="O204" s="23">
        <v>34.0</v>
      </c>
      <c r="P204" s="22">
        <v>0.0</v>
      </c>
      <c r="Q204" s="22">
        <v>9.0</v>
      </c>
      <c r="R204" s="22">
        <v>0.0</v>
      </c>
      <c r="S204" s="22">
        <v>0.0</v>
      </c>
      <c r="T204" s="24" t="s">
        <v>143</v>
      </c>
      <c r="U204" s="59" t="s">
        <v>42</v>
      </c>
      <c r="W204" s="60"/>
      <c r="X204" s="54"/>
      <c r="Y204" s="29"/>
    </row>
    <row r="205" ht="15.75" customHeight="1">
      <c r="A205" s="30">
        <v>191.0</v>
      </c>
      <c r="B205" s="31" t="s">
        <v>66</v>
      </c>
      <c r="C205" s="32" t="str">
        <f>HYPERLINK("https://azurlane.koumakan.jp/Kako","Kako")</f>
        <v>Kako</v>
      </c>
      <c r="D205" s="33" t="s">
        <v>40</v>
      </c>
      <c r="E205" s="33">
        <v>3518.0</v>
      </c>
      <c r="F205" s="33">
        <v>218.0</v>
      </c>
      <c r="G205" s="33">
        <v>193.0</v>
      </c>
      <c r="H205" s="33">
        <v>0.0</v>
      </c>
      <c r="I205" s="33">
        <v>164.0</v>
      </c>
      <c r="J205" s="33">
        <v>166.0</v>
      </c>
      <c r="K205" s="33">
        <v>78.0</v>
      </c>
      <c r="L205" s="33" t="s">
        <v>71</v>
      </c>
      <c r="M205" s="33">
        <v>31.0</v>
      </c>
      <c r="N205" s="33">
        <v>114.0</v>
      </c>
      <c r="O205" s="33">
        <v>34.0</v>
      </c>
      <c r="P205" s="33">
        <v>0.0</v>
      </c>
      <c r="Q205" s="33">
        <v>9.0</v>
      </c>
      <c r="R205" s="33">
        <v>0.0</v>
      </c>
      <c r="S205" s="33">
        <v>0.0</v>
      </c>
      <c r="T205" s="35" t="s">
        <v>143</v>
      </c>
      <c r="U205" s="36" t="s">
        <v>75</v>
      </c>
      <c r="V205" s="37" t="s">
        <v>39</v>
      </c>
      <c r="W205" s="52"/>
      <c r="X205" s="53"/>
      <c r="Y205" s="40"/>
    </row>
    <row r="206" ht="15.75" customHeight="1">
      <c r="A206" s="19">
        <v>191.1</v>
      </c>
      <c r="B206" s="20" t="s">
        <v>66</v>
      </c>
      <c r="C206" s="21" t="str">
        <f>HYPERLINK("https://azurlane.koumakan.jp/Kako#Retrofit","Kako (R)")</f>
        <v>Kako (R)</v>
      </c>
      <c r="D206" s="22" t="s">
        <v>36</v>
      </c>
      <c r="E206" s="22">
        <v>3798.0</v>
      </c>
      <c r="F206" s="22">
        <v>248.0</v>
      </c>
      <c r="G206" s="22">
        <v>238.0</v>
      </c>
      <c r="H206" s="22">
        <v>0.0</v>
      </c>
      <c r="I206" s="22">
        <v>179.0</v>
      </c>
      <c r="J206" s="22">
        <v>171.0</v>
      </c>
      <c r="K206" s="22">
        <v>78.0</v>
      </c>
      <c r="L206" s="22" t="s">
        <v>71</v>
      </c>
      <c r="M206" s="22">
        <v>31.0</v>
      </c>
      <c r="N206" s="22">
        <v>114.0</v>
      </c>
      <c r="O206" s="23">
        <v>34.0</v>
      </c>
      <c r="P206" s="22">
        <v>0.0</v>
      </c>
      <c r="Q206" s="22">
        <v>9.0</v>
      </c>
      <c r="R206" s="22">
        <v>0.0</v>
      </c>
      <c r="S206" s="22">
        <v>0.0</v>
      </c>
      <c r="T206" s="24" t="s">
        <v>143</v>
      </c>
      <c r="U206" s="59" t="s">
        <v>42</v>
      </c>
      <c r="W206" s="60"/>
      <c r="X206" s="54"/>
      <c r="Y206" s="29"/>
    </row>
    <row r="207" ht="15.75" customHeight="1">
      <c r="A207" s="30">
        <v>192.0</v>
      </c>
      <c r="B207" s="31" t="s">
        <v>66</v>
      </c>
      <c r="C207" s="32" t="str">
        <f>HYPERLINK("https://azurlane.koumakan.jp/Aoba","Aoba")</f>
        <v>Aoba</v>
      </c>
      <c r="D207" s="33" t="s">
        <v>40</v>
      </c>
      <c r="E207" s="33">
        <v>3610.0</v>
      </c>
      <c r="F207" s="33">
        <v>218.0</v>
      </c>
      <c r="G207" s="33">
        <v>193.0</v>
      </c>
      <c r="H207" s="33">
        <v>0.0</v>
      </c>
      <c r="I207" s="33">
        <v>171.0</v>
      </c>
      <c r="J207" s="33">
        <v>166.0</v>
      </c>
      <c r="K207" s="33">
        <v>78.0</v>
      </c>
      <c r="L207" s="33" t="s">
        <v>71</v>
      </c>
      <c r="M207" s="33">
        <v>32.0</v>
      </c>
      <c r="N207" s="33">
        <v>114.0</v>
      </c>
      <c r="O207" s="33">
        <v>52.0</v>
      </c>
      <c r="P207" s="33">
        <v>0.0</v>
      </c>
      <c r="Q207" s="33">
        <v>9.0</v>
      </c>
      <c r="R207" s="33">
        <v>0.0</v>
      </c>
      <c r="S207" s="33">
        <v>0.0</v>
      </c>
      <c r="T207" s="35" t="s">
        <v>143</v>
      </c>
      <c r="U207" s="57"/>
      <c r="V207" s="37" t="s">
        <v>68</v>
      </c>
      <c r="W207" s="38">
        <v>0.0625</v>
      </c>
      <c r="X207" s="53"/>
      <c r="Y207" s="40"/>
    </row>
    <row r="208" ht="15.75" customHeight="1">
      <c r="A208" s="19">
        <v>193.0</v>
      </c>
      <c r="B208" s="20" t="s">
        <v>66</v>
      </c>
      <c r="C208" s="21" t="str">
        <f>HYPERLINK("https://azurlane.koumakan.jp/Kinugasa","Kinugasa")</f>
        <v>Kinugasa</v>
      </c>
      <c r="D208" s="22" t="s">
        <v>40</v>
      </c>
      <c r="E208" s="22">
        <v>3610.0</v>
      </c>
      <c r="F208" s="22">
        <v>218.0</v>
      </c>
      <c r="G208" s="22">
        <v>193.0</v>
      </c>
      <c r="H208" s="22">
        <v>0.0</v>
      </c>
      <c r="I208" s="22">
        <v>171.0</v>
      </c>
      <c r="J208" s="22">
        <v>166.0</v>
      </c>
      <c r="K208" s="22">
        <v>78.0</v>
      </c>
      <c r="L208" s="22" t="s">
        <v>71</v>
      </c>
      <c r="M208" s="22">
        <v>32.0</v>
      </c>
      <c r="N208" s="22">
        <v>114.0</v>
      </c>
      <c r="O208" s="22">
        <v>65.0</v>
      </c>
      <c r="P208" s="22">
        <v>0.0</v>
      </c>
      <c r="Q208" s="22">
        <v>9.0</v>
      </c>
      <c r="R208" s="22">
        <v>0.0</v>
      </c>
      <c r="S208" s="22">
        <v>0.0</v>
      </c>
      <c r="T208" s="24" t="s">
        <v>143</v>
      </c>
      <c r="U208" s="58"/>
      <c r="V208" s="75" t="s">
        <v>68</v>
      </c>
      <c r="W208" s="76">
        <v>0.0625</v>
      </c>
      <c r="X208" s="54"/>
      <c r="Y208" s="29"/>
    </row>
    <row r="209" ht="15.75" customHeight="1">
      <c r="A209" s="68">
        <v>195.0</v>
      </c>
      <c r="B209" s="69" t="s">
        <v>66</v>
      </c>
      <c r="C209" s="70" t="s">
        <v>167</v>
      </c>
      <c r="D209" s="35" t="s">
        <v>32</v>
      </c>
      <c r="E209" s="35">
        <v>4493.0</v>
      </c>
      <c r="F209" s="35">
        <v>266.0</v>
      </c>
      <c r="G209" s="35">
        <v>251.0</v>
      </c>
      <c r="H209" s="35">
        <v>0.0</v>
      </c>
      <c r="I209" s="35">
        <v>193.0</v>
      </c>
      <c r="J209" s="35">
        <v>183.0</v>
      </c>
      <c r="K209" s="35">
        <v>78.0</v>
      </c>
      <c r="L209" s="35" t="s">
        <v>71</v>
      </c>
      <c r="M209" s="35">
        <v>28.0</v>
      </c>
      <c r="N209" s="35">
        <v>120.0</v>
      </c>
      <c r="O209" s="35">
        <v>42.0</v>
      </c>
      <c r="P209" s="35">
        <v>0.0</v>
      </c>
      <c r="Q209" s="35">
        <v>12.0</v>
      </c>
      <c r="R209" s="35">
        <v>0.0</v>
      </c>
      <c r="S209" s="35">
        <v>0.0</v>
      </c>
      <c r="T209" s="35" t="s">
        <v>143</v>
      </c>
      <c r="U209" s="71"/>
      <c r="V209" s="35" t="s">
        <v>76</v>
      </c>
      <c r="W209" s="97"/>
      <c r="X209" s="95"/>
      <c r="Y209" s="74"/>
    </row>
    <row r="210" ht="15.75" customHeight="1">
      <c r="A210" s="19">
        <v>196.0</v>
      </c>
      <c r="B210" s="20" t="s">
        <v>66</v>
      </c>
      <c r="C210" s="21" t="str">
        <f>HYPERLINK("https://azurlane.koumakan.jp/Myoukou","Myoukou")</f>
        <v>Myoukou</v>
      </c>
      <c r="D210" s="22" t="s">
        <v>36</v>
      </c>
      <c r="E210" s="22">
        <v>5339.0</v>
      </c>
      <c r="F210" s="22">
        <v>199.0</v>
      </c>
      <c r="G210" s="22">
        <v>152.0</v>
      </c>
      <c r="H210" s="22">
        <v>0.0</v>
      </c>
      <c r="I210" s="22">
        <v>198.0</v>
      </c>
      <c r="J210" s="22">
        <v>166.0</v>
      </c>
      <c r="K210" s="22">
        <v>80.0</v>
      </c>
      <c r="L210" s="22" t="s">
        <v>71</v>
      </c>
      <c r="M210" s="22">
        <v>32.0</v>
      </c>
      <c r="N210" s="22">
        <v>128.0</v>
      </c>
      <c r="O210" s="22">
        <v>62.0</v>
      </c>
      <c r="P210" s="22">
        <v>0.0</v>
      </c>
      <c r="Q210" s="22">
        <v>10.0</v>
      </c>
      <c r="R210" s="22">
        <v>0.0</v>
      </c>
      <c r="S210" s="22">
        <v>0.0</v>
      </c>
      <c r="T210" s="24" t="s">
        <v>143</v>
      </c>
      <c r="U210" s="25" t="s">
        <v>56</v>
      </c>
      <c r="V210" s="26" t="s">
        <v>39</v>
      </c>
      <c r="W210" s="65"/>
      <c r="X210" s="28" t="s">
        <v>168</v>
      </c>
      <c r="Y210" s="29"/>
    </row>
    <row r="211" ht="15.75" customHeight="1">
      <c r="A211" s="30">
        <v>197.0</v>
      </c>
      <c r="B211" s="31" t="s">
        <v>66</v>
      </c>
      <c r="C211" s="32" t="str">
        <f>HYPERLINK("https://azurlane.koumakan.jp/Nachi","Nachi")</f>
        <v>Nachi</v>
      </c>
      <c r="D211" s="33" t="s">
        <v>36</v>
      </c>
      <c r="E211" s="33">
        <v>5229.0</v>
      </c>
      <c r="F211" s="33">
        <v>199.0</v>
      </c>
      <c r="G211" s="33">
        <v>152.0</v>
      </c>
      <c r="H211" s="33">
        <v>0.0</v>
      </c>
      <c r="I211" s="33">
        <v>198.0</v>
      </c>
      <c r="J211" s="33">
        <v>166.0</v>
      </c>
      <c r="K211" s="33">
        <v>80.0</v>
      </c>
      <c r="L211" s="33" t="s">
        <v>71</v>
      </c>
      <c r="M211" s="33">
        <v>32.0</v>
      </c>
      <c r="N211" s="33">
        <v>128.0</v>
      </c>
      <c r="O211" s="33">
        <v>58.0</v>
      </c>
      <c r="P211" s="33">
        <v>0.0</v>
      </c>
      <c r="Q211" s="33">
        <v>10.0</v>
      </c>
      <c r="R211" s="33">
        <v>0.0</v>
      </c>
      <c r="S211" s="33">
        <v>0.0</v>
      </c>
      <c r="T211" s="35" t="s">
        <v>143</v>
      </c>
      <c r="U211" s="36" t="s">
        <v>69</v>
      </c>
      <c r="V211" s="61" t="s">
        <v>39</v>
      </c>
      <c r="W211" s="102"/>
      <c r="X211" s="53"/>
      <c r="Y211" s="40"/>
    </row>
    <row r="212" ht="15.75" customHeight="1">
      <c r="A212" s="19">
        <v>198.0</v>
      </c>
      <c r="B212" s="20" t="s">
        <v>66</v>
      </c>
      <c r="C212" s="21" t="str">
        <f>HYPERLINK("https://azurlane.koumakan.jp/Ashigara","Ashigara")</f>
        <v>Ashigara</v>
      </c>
      <c r="D212" s="22" t="s">
        <v>28</v>
      </c>
      <c r="E212" s="22">
        <v>4256.0</v>
      </c>
      <c r="F212" s="22">
        <v>237.0</v>
      </c>
      <c r="G212" s="22">
        <v>226.0</v>
      </c>
      <c r="H212" s="22">
        <v>0.0</v>
      </c>
      <c r="I212" s="22">
        <v>174.0</v>
      </c>
      <c r="J212" s="22">
        <v>171.0</v>
      </c>
      <c r="K212" s="22">
        <v>78.0</v>
      </c>
      <c r="L212" s="22" t="s">
        <v>71</v>
      </c>
      <c r="M212" s="22">
        <v>28.0</v>
      </c>
      <c r="N212" s="22">
        <v>128.0</v>
      </c>
      <c r="O212" s="22">
        <v>60.0</v>
      </c>
      <c r="P212" s="22">
        <v>0.0</v>
      </c>
      <c r="Q212" s="22">
        <v>11.0</v>
      </c>
      <c r="R212" s="22">
        <v>0.0</v>
      </c>
      <c r="S212" s="22">
        <v>0.0</v>
      </c>
      <c r="T212" s="24" t="s">
        <v>143</v>
      </c>
      <c r="U212" s="58"/>
      <c r="V212" s="26" t="s">
        <v>76</v>
      </c>
      <c r="W212" s="76">
        <v>0.0798611111111111</v>
      </c>
      <c r="X212" s="28" t="s">
        <v>169</v>
      </c>
      <c r="Y212" s="29"/>
    </row>
    <row r="213" ht="15.75" customHeight="1">
      <c r="A213" s="30">
        <v>200.0</v>
      </c>
      <c r="B213" s="31" t="s">
        <v>66</v>
      </c>
      <c r="C213" s="32" t="str">
        <f>HYPERLINK("https://azurlane.koumakan.jp/Takao","Takao")</f>
        <v>Takao</v>
      </c>
      <c r="D213" s="33" t="s">
        <v>32</v>
      </c>
      <c r="E213" s="33">
        <v>4394.0</v>
      </c>
      <c r="F213" s="33">
        <v>274.0</v>
      </c>
      <c r="G213" s="33">
        <v>248.0</v>
      </c>
      <c r="H213" s="33">
        <v>0.0</v>
      </c>
      <c r="I213" s="33">
        <v>182.0</v>
      </c>
      <c r="J213" s="33">
        <v>177.0</v>
      </c>
      <c r="K213" s="33">
        <v>82.0</v>
      </c>
      <c r="L213" s="33" t="s">
        <v>71</v>
      </c>
      <c r="M213" s="33">
        <v>31.0</v>
      </c>
      <c r="N213" s="33">
        <v>137.0</v>
      </c>
      <c r="O213" s="33">
        <v>65.0</v>
      </c>
      <c r="P213" s="33">
        <v>0.0</v>
      </c>
      <c r="Q213" s="33">
        <v>12.0</v>
      </c>
      <c r="R213" s="33">
        <v>0.0</v>
      </c>
      <c r="S213" s="33">
        <v>0.0</v>
      </c>
      <c r="T213" s="35" t="s">
        <v>143</v>
      </c>
      <c r="U213" s="57"/>
      <c r="V213" s="61" t="s">
        <v>68</v>
      </c>
      <c r="W213" s="62">
        <v>0.08680555555555555</v>
      </c>
      <c r="X213" s="39" t="s">
        <v>170</v>
      </c>
      <c r="Y213" s="40"/>
    </row>
    <row r="214" ht="15.75" customHeight="1">
      <c r="A214" s="19">
        <v>201.0</v>
      </c>
      <c r="B214" s="20" t="s">
        <v>66</v>
      </c>
      <c r="C214" s="21" t="str">
        <f>HYPERLINK("https://azurlane.koumakan.jp/Atago","Atago")</f>
        <v>Atago</v>
      </c>
      <c r="D214" s="22" t="s">
        <v>32</v>
      </c>
      <c r="E214" s="22">
        <v>4394.0</v>
      </c>
      <c r="F214" s="22">
        <v>274.0</v>
      </c>
      <c r="G214" s="22">
        <v>248.0</v>
      </c>
      <c r="H214" s="22">
        <v>0.0</v>
      </c>
      <c r="I214" s="22">
        <v>182.0</v>
      </c>
      <c r="J214" s="22">
        <v>177.0</v>
      </c>
      <c r="K214" s="22">
        <v>82.0</v>
      </c>
      <c r="L214" s="22" t="s">
        <v>71</v>
      </c>
      <c r="M214" s="22">
        <v>31.0</v>
      </c>
      <c r="N214" s="22">
        <v>137.0</v>
      </c>
      <c r="O214" s="22">
        <v>48.0</v>
      </c>
      <c r="P214" s="22">
        <v>0.0</v>
      </c>
      <c r="Q214" s="22">
        <v>12.0</v>
      </c>
      <c r="R214" s="22">
        <v>0.0</v>
      </c>
      <c r="S214" s="22">
        <v>0.0</v>
      </c>
      <c r="T214" s="24" t="s">
        <v>143</v>
      </c>
      <c r="U214" s="58"/>
      <c r="V214" s="26" t="s">
        <v>68</v>
      </c>
      <c r="W214" s="76">
        <v>0.08680555555555555</v>
      </c>
      <c r="X214" s="54"/>
      <c r="Y214" s="29"/>
    </row>
    <row r="215" ht="15.75" customHeight="1">
      <c r="A215" s="30">
        <v>202.0</v>
      </c>
      <c r="B215" s="31" t="s">
        <v>66</v>
      </c>
      <c r="C215" s="32" t="str">
        <f>HYPERLINK("https://azurlane.koumakan.jp/Maya","Maya")</f>
        <v>Maya</v>
      </c>
      <c r="D215" s="33" t="s">
        <v>32</v>
      </c>
      <c r="E215" s="33">
        <v>4394.0</v>
      </c>
      <c r="F215" s="33">
        <v>274.0</v>
      </c>
      <c r="G215" s="33">
        <v>248.0</v>
      </c>
      <c r="H215" s="33">
        <v>0.0</v>
      </c>
      <c r="I215" s="33">
        <v>182.0</v>
      </c>
      <c r="J215" s="33">
        <v>177.0</v>
      </c>
      <c r="K215" s="33">
        <v>82.0</v>
      </c>
      <c r="L215" s="33" t="s">
        <v>71</v>
      </c>
      <c r="M215" s="33">
        <v>31.0</v>
      </c>
      <c r="N215" s="33">
        <v>137.0</v>
      </c>
      <c r="O215" s="33">
        <v>48.0</v>
      </c>
      <c r="P215" s="33">
        <v>0.0</v>
      </c>
      <c r="Q215" s="33">
        <v>12.0</v>
      </c>
      <c r="R215" s="33">
        <v>0.0</v>
      </c>
      <c r="S215" s="33">
        <v>0.0</v>
      </c>
      <c r="T215" s="35" t="s">
        <v>143</v>
      </c>
      <c r="U215" s="36" t="s">
        <v>171</v>
      </c>
      <c r="V215" s="37" t="s">
        <v>39</v>
      </c>
      <c r="W215" s="102"/>
      <c r="X215" s="39"/>
      <c r="Y215" s="40"/>
    </row>
    <row r="216" ht="15.75" customHeight="1">
      <c r="A216" s="19">
        <v>203.0</v>
      </c>
      <c r="B216" s="20" t="s">
        <v>66</v>
      </c>
      <c r="C216" s="21" t="str">
        <f>HYPERLINK("https://azurlane.koumakan.jp/Choukai","Choukai")</f>
        <v>Choukai</v>
      </c>
      <c r="D216" s="22" t="s">
        <v>32</v>
      </c>
      <c r="E216" s="22">
        <v>4394.0</v>
      </c>
      <c r="F216" s="22">
        <v>265.0</v>
      </c>
      <c r="G216" s="22">
        <v>224.0</v>
      </c>
      <c r="H216" s="22">
        <v>0.0</v>
      </c>
      <c r="I216" s="22">
        <v>182.0</v>
      </c>
      <c r="J216" s="22">
        <v>177.0</v>
      </c>
      <c r="K216" s="22">
        <v>82.0</v>
      </c>
      <c r="L216" s="22" t="s">
        <v>71</v>
      </c>
      <c r="M216" s="22">
        <v>31.0</v>
      </c>
      <c r="N216" s="22">
        <v>137.0</v>
      </c>
      <c r="O216" s="22">
        <v>50.0</v>
      </c>
      <c r="P216" s="22">
        <v>0.0</v>
      </c>
      <c r="Q216" s="22">
        <v>12.0</v>
      </c>
      <c r="R216" s="22">
        <v>0.0</v>
      </c>
      <c r="S216" s="22">
        <v>0.0</v>
      </c>
      <c r="T216" s="24" t="s">
        <v>143</v>
      </c>
      <c r="U216" s="25" t="s">
        <v>172</v>
      </c>
      <c r="V216" s="26" t="s">
        <v>39</v>
      </c>
      <c r="W216" s="98"/>
      <c r="X216" s="54"/>
      <c r="Y216" s="29"/>
    </row>
    <row r="217" ht="15.75" customHeight="1">
      <c r="A217" s="30">
        <v>204.0</v>
      </c>
      <c r="B217" s="31" t="s">
        <v>126</v>
      </c>
      <c r="C217" s="32" t="str">
        <f>HYPERLINK("https://azurlane.koumakan.jp/Kongou","Kongou")</f>
        <v>Kongou</v>
      </c>
      <c r="D217" s="33" t="s">
        <v>28</v>
      </c>
      <c r="E217" s="33">
        <v>6762.0</v>
      </c>
      <c r="F217" s="33">
        <v>372.0</v>
      </c>
      <c r="G217" s="33">
        <v>0.0</v>
      </c>
      <c r="H217" s="33">
        <v>0.0</v>
      </c>
      <c r="I217" s="33">
        <v>279.0</v>
      </c>
      <c r="J217" s="33">
        <v>161.0</v>
      </c>
      <c r="K217" s="33">
        <v>38.0</v>
      </c>
      <c r="L217" s="33" t="s">
        <v>71</v>
      </c>
      <c r="M217" s="33">
        <v>30.0</v>
      </c>
      <c r="N217" s="33">
        <v>72.0</v>
      </c>
      <c r="O217" s="33">
        <v>43.0</v>
      </c>
      <c r="P217" s="33">
        <v>0.0</v>
      </c>
      <c r="Q217" s="33">
        <v>14.0</v>
      </c>
      <c r="R217" s="33">
        <v>0.0</v>
      </c>
      <c r="S217" s="33">
        <v>0.0</v>
      </c>
      <c r="T217" s="35" t="s">
        <v>143</v>
      </c>
      <c r="U217" s="57"/>
      <c r="V217" s="37" t="s">
        <v>76</v>
      </c>
      <c r="W217" s="102"/>
      <c r="X217" s="39" t="s">
        <v>173</v>
      </c>
      <c r="Y217" s="40"/>
    </row>
    <row r="218" ht="15.75" customHeight="1">
      <c r="A218" s="19">
        <v>205.0</v>
      </c>
      <c r="B218" s="20" t="s">
        <v>126</v>
      </c>
      <c r="C218" s="21" t="str">
        <f>HYPERLINK("https://azurlane.koumakan.jp/Hiei","Hiei")</f>
        <v>Hiei</v>
      </c>
      <c r="D218" s="22" t="s">
        <v>28</v>
      </c>
      <c r="E218" s="22">
        <v>6762.0</v>
      </c>
      <c r="F218" s="22">
        <v>372.0</v>
      </c>
      <c r="G218" s="22">
        <v>0.0</v>
      </c>
      <c r="H218" s="22">
        <v>0.0</v>
      </c>
      <c r="I218" s="22">
        <v>279.0</v>
      </c>
      <c r="J218" s="22">
        <v>162.0</v>
      </c>
      <c r="K218" s="22">
        <v>38.0</v>
      </c>
      <c r="L218" s="22" t="s">
        <v>71</v>
      </c>
      <c r="M218" s="22">
        <v>30.0</v>
      </c>
      <c r="N218" s="22">
        <v>70.0</v>
      </c>
      <c r="O218" s="22">
        <v>37.0</v>
      </c>
      <c r="P218" s="22">
        <v>0.0</v>
      </c>
      <c r="Q218" s="22">
        <v>14.0</v>
      </c>
      <c r="R218" s="22">
        <v>0.0</v>
      </c>
      <c r="S218" s="22">
        <v>0.0</v>
      </c>
      <c r="T218" s="24" t="s">
        <v>143</v>
      </c>
      <c r="U218" s="58"/>
      <c r="V218" s="75" t="s">
        <v>76</v>
      </c>
      <c r="W218" s="76">
        <v>0.1736111111111111</v>
      </c>
      <c r="X218" s="28" t="s">
        <v>159</v>
      </c>
      <c r="Y218" s="29"/>
    </row>
    <row r="219" ht="15.75" customHeight="1">
      <c r="A219" s="30">
        <v>206.0</v>
      </c>
      <c r="B219" s="31" t="s">
        <v>126</v>
      </c>
      <c r="C219" s="32" t="str">
        <f>HYPERLINK("https://azurlane.koumakan.jp/Haruna","Haruna")</f>
        <v>Haruna</v>
      </c>
      <c r="D219" s="33" t="s">
        <v>28</v>
      </c>
      <c r="E219" s="33">
        <v>6762.0</v>
      </c>
      <c r="F219" s="33">
        <v>365.0</v>
      </c>
      <c r="G219" s="33">
        <v>0.0</v>
      </c>
      <c r="H219" s="33">
        <v>0.0</v>
      </c>
      <c r="I219" s="33">
        <v>279.0</v>
      </c>
      <c r="J219" s="33">
        <v>161.0</v>
      </c>
      <c r="K219" s="33">
        <v>38.0</v>
      </c>
      <c r="L219" s="33" t="s">
        <v>71</v>
      </c>
      <c r="M219" s="33">
        <v>30.0</v>
      </c>
      <c r="N219" s="33">
        <v>70.0</v>
      </c>
      <c r="O219" s="33">
        <v>47.0</v>
      </c>
      <c r="P219" s="33">
        <v>0.0</v>
      </c>
      <c r="Q219" s="33">
        <v>14.0</v>
      </c>
      <c r="R219" s="33">
        <v>0.0</v>
      </c>
      <c r="S219" s="33">
        <v>0.0</v>
      </c>
      <c r="T219" s="35" t="s">
        <v>143</v>
      </c>
      <c r="U219" s="57"/>
      <c r="V219" s="61" t="s">
        <v>76</v>
      </c>
      <c r="W219" s="102"/>
      <c r="X219" s="39" t="s">
        <v>174</v>
      </c>
      <c r="Y219" s="40"/>
    </row>
    <row r="220" ht="15.75" customHeight="1">
      <c r="A220" s="19">
        <v>207.0</v>
      </c>
      <c r="B220" s="20" t="s">
        <v>126</v>
      </c>
      <c r="C220" s="21" t="str">
        <f>HYPERLINK("https://azurlane.koumakan.jp/Kirishima","Kirishima")</f>
        <v>Kirishima</v>
      </c>
      <c r="D220" s="22" t="s">
        <v>28</v>
      </c>
      <c r="E220" s="22">
        <v>6762.0</v>
      </c>
      <c r="F220" s="22">
        <v>372.0</v>
      </c>
      <c r="G220" s="22">
        <v>0.0</v>
      </c>
      <c r="H220" s="22">
        <v>0.0</v>
      </c>
      <c r="I220" s="22">
        <v>279.0</v>
      </c>
      <c r="J220" s="22">
        <v>162.0</v>
      </c>
      <c r="K220" s="22">
        <v>38.0</v>
      </c>
      <c r="L220" s="22" t="s">
        <v>71</v>
      </c>
      <c r="M220" s="22">
        <v>30.0</v>
      </c>
      <c r="N220" s="22">
        <v>70.0</v>
      </c>
      <c r="O220" s="22">
        <v>37.0</v>
      </c>
      <c r="P220" s="22">
        <v>0.0</v>
      </c>
      <c r="Q220" s="22">
        <v>14.0</v>
      </c>
      <c r="R220" s="22">
        <v>0.0</v>
      </c>
      <c r="S220" s="22">
        <v>0.0</v>
      </c>
      <c r="T220" s="24" t="s">
        <v>143</v>
      </c>
      <c r="U220" s="58"/>
      <c r="V220" s="75" t="s">
        <v>83</v>
      </c>
      <c r="W220" s="76">
        <v>0.1736111111111111</v>
      </c>
      <c r="X220" s="28"/>
      <c r="Y220" s="29"/>
    </row>
    <row r="221" ht="15.75" customHeight="1">
      <c r="A221" s="30">
        <v>208.0</v>
      </c>
      <c r="B221" s="31" t="s">
        <v>82</v>
      </c>
      <c r="C221" s="32" t="str">
        <f>HYPERLINK("https://azurlane.koumakan.jp/Fusou","Fusou")</f>
        <v>Fusou</v>
      </c>
      <c r="D221" s="33" t="s">
        <v>36</v>
      </c>
      <c r="E221" s="33">
        <v>7081.0</v>
      </c>
      <c r="F221" s="33">
        <v>395.0</v>
      </c>
      <c r="G221" s="33">
        <v>0.0</v>
      </c>
      <c r="H221" s="33">
        <v>0.0</v>
      </c>
      <c r="I221" s="33">
        <v>227.0</v>
      </c>
      <c r="J221" s="33">
        <v>140.0</v>
      </c>
      <c r="K221" s="33">
        <v>32.0</v>
      </c>
      <c r="L221" s="33" t="s">
        <v>83</v>
      </c>
      <c r="M221" s="33">
        <v>23.0</v>
      </c>
      <c r="N221" s="33">
        <v>68.0</v>
      </c>
      <c r="O221" s="33">
        <v>13.0</v>
      </c>
      <c r="P221" s="33">
        <v>0.0</v>
      </c>
      <c r="Q221" s="33">
        <v>13.0</v>
      </c>
      <c r="R221" s="33">
        <v>0.0</v>
      </c>
      <c r="S221" s="33">
        <v>0.0</v>
      </c>
      <c r="T221" s="35" t="s">
        <v>143</v>
      </c>
      <c r="U221" s="36" t="s">
        <v>125</v>
      </c>
      <c r="V221" s="61" t="s">
        <v>39</v>
      </c>
      <c r="W221" s="102"/>
      <c r="X221" s="53"/>
      <c r="Y221" s="40"/>
    </row>
    <row r="222" ht="15.75" customHeight="1">
      <c r="A222" s="19">
        <v>208.1</v>
      </c>
      <c r="B222" s="20" t="s">
        <v>175</v>
      </c>
      <c r="C222" s="21" t="str">
        <f>HYPERLINK("https://azurlane.koumakan.jp/Fusou#Retrofit","Fusou (R)")</f>
        <v>Fusou (R)</v>
      </c>
      <c r="D222" s="22" t="s">
        <v>28</v>
      </c>
      <c r="E222" s="22">
        <v>7431.0</v>
      </c>
      <c r="F222" s="22">
        <v>394.0</v>
      </c>
      <c r="G222" s="22">
        <v>0.0</v>
      </c>
      <c r="H222" s="22">
        <v>205.0</v>
      </c>
      <c r="I222" s="22">
        <v>309.0</v>
      </c>
      <c r="J222" s="22">
        <v>136.0</v>
      </c>
      <c r="K222" s="22">
        <v>32.0</v>
      </c>
      <c r="L222" s="22" t="s">
        <v>83</v>
      </c>
      <c r="M222" s="22">
        <v>23.0</v>
      </c>
      <c r="N222" s="22">
        <v>80.0</v>
      </c>
      <c r="O222" s="23">
        <v>13.0</v>
      </c>
      <c r="P222" s="22">
        <v>0.0</v>
      </c>
      <c r="Q222" s="22">
        <v>13.0</v>
      </c>
      <c r="R222" s="22">
        <v>0.0</v>
      </c>
      <c r="S222" s="22">
        <v>0.0</v>
      </c>
      <c r="T222" s="24" t="s">
        <v>143</v>
      </c>
      <c r="U222" s="59" t="s">
        <v>42</v>
      </c>
      <c r="W222" s="60"/>
      <c r="X222" s="54"/>
      <c r="Y222" s="29"/>
    </row>
    <row r="223" ht="15.75" customHeight="1">
      <c r="A223" s="30">
        <v>209.0</v>
      </c>
      <c r="B223" s="31" t="s">
        <v>82</v>
      </c>
      <c r="C223" s="32" t="str">
        <f>HYPERLINK("https://azurlane.koumakan.jp/Yamashiro","Yamashiro")</f>
        <v>Yamashiro</v>
      </c>
      <c r="D223" s="33" t="s">
        <v>36</v>
      </c>
      <c r="E223" s="33">
        <v>7482.0</v>
      </c>
      <c r="F223" s="33">
        <v>395.0</v>
      </c>
      <c r="G223" s="33">
        <v>0.0</v>
      </c>
      <c r="H223" s="33">
        <v>0.0</v>
      </c>
      <c r="I223" s="33">
        <v>227.0</v>
      </c>
      <c r="J223" s="33">
        <v>140.0</v>
      </c>
      <c r="K223" s="33">
        <v>32.0</v>
      </c>
      <c r="L223" s="33" t="s">
        <v>83</v>
      </c>
      <c r="M223" s="33">
        <v>23.0</v>
      </c>
      <c r="N223" s="33">
        <v>68.0</v>
      </c>
      <c r="O223" s="33">
        <v>14.0</v>
      </c>
      <c r="P223" s="33">
        <v>0.0</v>
      </c>
      <c r="Q223" s="33">
        <v>13.0</v>
      </c>
      <c r="R223" s="33">
        <v>0.0</v>
      </c>
      <c r="S223" s="33">
        <v>0.0</v>
      </c>
      <c r="T223" s="35" t="s">
        <v>143</v>
      </c>
      <c r="U223" s="36" t="s">
        <v>125</v>
      </c>
      <c r="V223" s="61" t="s">
        <v>39</v>
      </c>
      <c r="W223" s="102"/>
      <c r="X223" s="53"/>
      <c r="Y223" s="40"/>
    </row>
    <row r="224" ht="15.75" customHeight="1">
      <c r="A224" s="19">
        <v>209.1</v>
      </c>
      <c r="B224" s="20" t="s">
        <v>175</v>
      </c>
      <c r="C224" s="21" t="str">
        <f>HYPERLINK("https://azurlane.koumakan.jp/Yamashiro#Retrofit","Yamashiro (R)")</f>
        <v>Yamashiro (R)</v>
      </c>
      <c r="D224" s="22" t="s">
        <v>28</v>
      </c>
      <c r="E224" s="22">
        <v>7832.0</v>
      </c>
      <c r="F224" s="22">
        <v>394.0</v>
      </c>
      <c r="G224" s="22">
        <v>0.0</v>
      </c>
      <c r="H224" s="22">
        <v>205.0</v>
      </c>
      <c r="I224" s="22">
        <v>309.0</v>
      </c>
      <c r="J224" s="22">
        <v>136.0</v>
      </c>
      <c r="K224" s="22">
        <v>32.0</v>
      </c>
      <c r="L224" s="22" t="s">
        <v>83</v>
      </c>
      <c r="M224" s="22">
        <v>23.0</v>
      </c>
      <c r="N224" s="22">
        <v>80.0</v>
      </c>
      <c r="O224" s="23">
        <v>14.0</v>
      </c>
      <c r="P224" s="22">
        <v>0.0</v>
      </c>
      <c r="Q224" s="22">
        <v>13.0</v>
      </c>
      <c r="R224" s="22">
        <v>0.0</v>
      </c>
      <c r="S224" s="22">
        <v>0.0</v>
      </c>
      <c r="T224" s="24" t="s">
        <v>143</v>
      </c>
      <c r="U224" s="59" t="s">
        <v>42</v>
      </c>
      <c r="W224" s="60"/>
      <c r="X224" s="54"/>
      <c r="Y224" s="29"/>
    </row>
    <row r="225" ht="15.75" customHeight="1">
      <c r="A225" s="30">
        <v>210.0</v>
      </c>
      <c r="B225" s="31" t="s">
        <v>82</v>
      </c>
      <c r="C225" s="32" t="str">
        <f>HYPERLINK("https://azurlane.koumakan.jp/Ise","Ise")</f>
        <v>Ise</v>
      </c>
      <c r="D225" s="33" t="s">
        <v>36</v>
      </c>
      <c r="E225" s="33">
        <v>7294.0</v>
      </c>
      <c r="F225" s="33">
        <v>403.0</v>
      </c>
      <c r="G225" s="33">
        <v>0.0</v>
      </c>
      <c r="H225" s="33">
        <v>0.0</v>
      </c>
      <c r="I225" s="33">
        <v>234.0</v>
      </c>
      <c r="J225" s="33">
        <v>143.0</v>
      </c>
      <c r="K225" s="33">
        <v>32.0</v>
      </c>
      <c r="L225" s="33" t="s">
        <v>83</v>
      </c>
      <c r="M225" s="33">
        <v>23.0</v>
      </c>
      <c r="N225" s="33">
        <v>72.0</v>
      </c>
      <c r="O225" s="33">
        <v>60.0</v>
      </c>
      <c r="P225" s="33">
        <v>0.0</v>
      </c>
      <c r="Q225" s="33">
        <v>13.0</v>
      </c>
      <c r="R225" s="33">
        <v>0.0</v>
      </c>
      <c r="S225" s="33">
        <v>0.0</v>
      </c>
      <c r="T225" s="35" t="s">
        <v>143</v>
      </c>
      <c r="U225" s="57"/>
      <c r="V225" s="61" t="s">
        <v>127</v>
      </c>
      <c r="W225" s="62">
        <v>0.1840277777777778</v>
      </c>
      <c r="X225" s="39" t="s">
        <v>155</v>
      </c>
      <c r="Y225" s="40"/>
    </row>
    <row r="226" ht="15.75" customHeight="1">
      <c r="A226" s="19">
        <v>210.1</v>
      </c>
      <c r="B226" s="20" t="s">
        <v>175</v>
      </c>
      <c r="C226" s="21" t="str">
        <f>HYPERLINK("https://azurlane.koumakan.jp/Ise#Retrofit","Ise (R)")</f>
        <v>Ise (R)</v>
      </c>
      <c r="D226" s="22" t="s">
        <v>28</v>
      </c>
      <c r="E226" s="22">
        <v>7413.0</v>
      </c>
      <c r="F226" s="22">
        <v>394.0</v>
      </c>
      <c r="G226" s="22">
        <v>0.0</v>
      </c>
      <c r="H226" s="22">
        <v>278.0</v>
      </c>
      <c r="I226" s="22">
        <v>380.0</v>
      </c>
      <c r="J226" s="22">
        <v>134.0</v>
      </c>
      <c r="K226" s="22">
        <v>32.0</v>
      </c>
      <c r="L226" s="22" t="s">
        <v>83</v>
      </c>
      <c r="M226" s="22">
        <v>23.0</v>
      </c>
      <c r="N226" s="22">
        <v>89.0</v>
      </c>
      <c r="O226" s="22">
        <v>60.0</v>
      </c>
      <c r="P226" s="22">
        <v>0.0</v>
      </c>
      <c r="Q226" s="22">
        <v>13.0</v>
      </c>
      <c r="R226" s="22">
        <v>0.0</v>
      </c>
      <c r="S226" s="22">
        <v>0.0</v>
      </c>
      <c r="T226" s="24" t="s">
        <v>143</v>
      </c>
      <c r="U226" s="59" t="s">
        <v>42</v>
      </c>
      <c r="W226" s="60"/>
      <c r="X226" s="54"/>
      <c r="Y226" s="29"/>
    </row>
    <row r="227" ht="15.75" customHeight="1">
      <c r="A227" s="30">
        <v>211.0</v>
      </c>
      <c r="B227" s="31" t="s">
        <v>82</v>
      </c>
      <c r="C227" s="32" t="str">
        <f>HYPERLINK("https://azurlane.koumakan.jp/Hyuuga","Hyuuga")</f>
        <v>Hyuuga</v>
      </c>
      <c r="D227" s="33" t="s">
        <v>36</v>
      </c>
      <c r="E227" s="33">
        <v>7294.0</v>
      </c>
      <c r="F227" s="33">
        <v>403.0</v>
      </c>
      <c r="G227" s="33">
        <v>0.0</v>
      </c>
      <c r="H227" s="33">
        <v>0.0</v>
      </c>
      <c r="I227" s="33">
        <v>234.0</v>
      </c>
      <c r="J227" s="33">
        <v>143.0</v>
      </c>
      <c r="K227" s="33">
        <v>32.0</v>
      </c>
      <c r="L227" s="33" t="s">
        <v>83</v>
      </c>
      <c r="M227" s="33">
        <v>23.0</v>
      </c>
      <c r="N227" s="33">
        <v>72.0</v>
      </c>
      <c r="O227" s="33">
        <v>60.0</v>
      </c>
      <c r="P227" s="33">
        <v>0.0</v>
      </c>
      <c r="Q227" s="33">
        <v>13.0</v>
      </c>
      <c r="R227" s="33">
        <v>0.0</v>
      </c>
      <c r="S227" s="33">
        <v>0.0</v>
      </c>
      <c r="T227" s="35" t="s">
        <v>143</v>
      </c>
      <c r="U227" s="57"/>
      <c r="V227" s="37" t="s">
        <v>127</v>
      </c>
      <c r="W227" s="38">
        <v>0.1840277777777778</v>
      </c>
      <c r="X227" s="39" t="s">
        <v>155</v>
      </c>
      <c r="Y227" s="40"/>
    </row>
    <row r="228" ht="15.75" customHeight="1">
      <c r="A228" s="19">
        <v>211.1</v>
      </c>
      <c r="B228" s="20" t="s">
        <v>175</v>
      </c>
      <c r="C228" s="21" t="str">
        <f>HYPERLINK("https://azurlane.koumakan.jp/Hyuuga#Retrofit","Hyuuga (R)")</f>
        <v>Hyuuga (R)</v>
      </c>
      <c r="D228" s="22" t="s">
        <v>28</v>
      </c>
      <c r="E228" s="22">
        <v>7413.0</v>
      </c>
      <c r="F228" s="22">
        <v>394.0</v>
      </c>
      <c r="G228" s="22">
        <v>0.0</v>
      </c>
      <c r="H228" s="22">
        <v>278.0</v>
      </c>
      <c r="I228" s="22">
        <v>380.0</v>
      </c>
      <c r="J228" s="22">
        <v>134.0</v>
      </c>
      <c r="K228" s="22">
        <v>32.0</v>
      </c>
      <c r="L228" s="22" t="s">
        <v>83</v>
      </c>
      <c r="M228" s="22">
        <v>23.0</v>
      </c>
      <c r="N228" s="22">
        <v>89.0</v>
      </c>
      <c r="O228" s="22">
        <v>60.0</v>
      </c>
      <c r="P228" s="22">
        <v>0.0</v>
      </c>
      <c r="Q228" s="22">
        <v>13.0</v>
      </c>
      <c r="R228" s="22">
        <v>0.0</v>
      </c>
      <c r="S228" s="22">
        <v>0.0</v>
      </c>
      <c r="T228" s="24" t="s">
        <v>143</v>
      </c>
      <c r="U228" s="59" t="s">
        <v>42</v>
      </c>
      <c r="W228" s="60"/>
      <c r="X228" s="54"/>
      <c r="Y228" s="29"/>
    </row>
    <row r="229" ht="15.75" customHeight="1">
      <c r="A229" s="30">
        <v>212.0</v>
      </c>
      <c r="B229" s="31" t="s">
        <v>82</v>
      </c>
      <c r="C229" s="32" t="str">
        <f>HYPERLINK("https://azurlane.koumakan.jp/Nagato","Nagato")</f>
        <v>Nagato</v>
      </c>
      <c r="D229" s="33" t="s">
        <v>32</v>
      </c>
      <c r="E229" s="33">
        <v>8311.0</v>
      </c>
      <c r="F229" s="33">
        <v>424.0</v>
      </c>
      <c r="G229" s="33">
        <v>0.0</v>
      </c>
      <c r="H229" s="33">
        <v>0.0</v>
      </c>
      <c r="I229" s="33">
        <v>186.0</v>
      </c>
      <c r="J229" s="33">
        <v>148.0</v>
      </c>
      <c r="K229" s="33">
        <v>38.0</v>
      </c>
      <c r="L229" s="33" t="s">
        <v>83</v>
      </c>
      <c r="M229" s="33">
        <v>25.0</v>
      </c>
      <c r="N229" s="33">
        <v>72.0</v>
      </c>
      <c r="O229" s="33">
        <v>71.0</v>
      </c>
      <c r="P229" s="33">
        <v>0.0</v>
      </c>
      <c r="Q229" s="33">
        <v>15.0</v>
      </c>
      <c r="R229" s="33">
        <v>0.0</v>
      </c>
      <c r="S229" s="33">
        <v>0.0</v>
      </c>
      <c r="T229" s="35" t="s">
        <v>143</v>
      </c>
      <c r="U229" s="57"/>
      <c r="V229" s="37" t="s">
        <v>76</v>
      </c>
      <c r="W229" s="38">
        <v>0.18055555555555555</v>
      </c>
      <c r="X229" s="39" t="s">
        <v>176</v>
      </c>
      <c r="Y229" s="40"/>
    </row>
    <row r="230" ht="15.75" customHeight="1">
      <c r="A230" s="19">
        <v>213.0</v>
      </c>
      <c r="B230" s="20" t="s">
        <v>82</v>
      </c>
      <c r="C230" s="21" t="str">
        <f>HYPERLINK("https://azurlane.koumakan.jp/Mutsu","Mutsu")</f>
        <v>Mutsu</v>
      </c>
      <c r="D230" s="22" t="s">
        <v>28</v>
      </c>
      <c r="E230" s="22">
        <v>8084.0</v>
      </c>
      <c r="F230" s="22">
        <v>415.0</v>
      </c>
      <c r="G230" s="22">
        <v>0.0</v>
      </c>
      <c r="H230" s="22">
        <v>0.0</v>
      </c>
      <c r="I230" s="22">
        <v>189.0</v>
      </c>
      <c r="J230" s="22">
        <v>147.0</v>
      </c>
      <c r="K230" s="22">
        <v>36.0</v>
      </c>
      <c r="L230" s="22" t="s">
        <v>83</v>
      </c>
      <c r="M230" s="22">
        <v>25.0</v>
      </c>
      <c r="N230" s="22">
        <v>73.0</v>
      </c>
      <c r="O230" s="22">
        <v>34.0</v>
      </c>
      <c r="P230" s="22">
        <v>0.0</v>
      </c>
      <c r="Q230" s="22">
        <v>14.0</v>
      </c>
      <c r="R230" s="22">
        <v>0.0</v>
      </c>
      <c r="S230" s="22">
        <v>0.0</v>
      </c>
      <c r="T230" s="24" t="s">
        <v>143</v>
      </c>
      <c r="U230" s="58"/>
      <c r="V230" s="26" t="s">
        <v>76</v>
      </c>
      <c r="W230" s="98"/>
      <c r="X230" s="28" t="s">
        <v>174</v>
      </c>
      <c r="Y230" s="29"/>
    </row>
    <row r="231" ht="15.75" customHeight="1">
      <c r="A231" s="68">
        <v>214.0</v>
      </c>
      <c r="B231" s="69" t="s">
        <v>82</v>
      </c>
      <c r="C231" s="80" t="s">
        <v>177</v>
      </c>
      <c r="D231" s="35" t="s">
        <v>32</v>
      </c>
      <c r="E231" s="35">
        <v>8134.0</v>
      </c>
      <c r="F231" s="35">
        <v>426.0</v>
      </c>
      <c r="G231" s="35">
        <v>287.0</v>
      </c>
      <c r="H231" s="35">
        <v>0.0</v>
      </c>
      <c r="I231" s="35">
        <v>375.0</v>
      </c>
      <c r="J231" s="35">
        <v>147.0</v>
      </c>
      <c r="K231" s="35">
        <v>38.0</v>
      </c>
      <c r="L231" s="35" t="s">
        <v>83</v>
      </c>
      <c r="M231" s="35">
        <v>28.0</v>
      </c>
      <c r="N231" s="35">
        <v>73.0</v>
      </c>
      <c r="O231" s="35">
        <v>39.0</v>
      </c>
      <c r="P231" s="35">
        <v>0.0</v>
      </c>
      <c r="Q231" s="35">
        <v>15.0</v>
      </c>
      <c r="R231" s="35">
        <v>0.0</v>
      </c>
      <c r="S231" s="35">
        <v>0.0</v>
      </c>
      <c r="T231" s="35" t="s">
        <v>143</v>
      </c>
      <c r="U231" s="71"/>
      <c r="V231" s="81" t="s">
        <v>76</v>
      </c>
      <c r="W231" s="82">
        <v>0.18055555555555555</v>
      </c>
      <c r="X231" s="95"/>
      <c r="Y231" s="74"/>
    </row>
    <row r="232" ht="15.75" customHeight="1">
      <c r="A232" s="41">
        <v>215.0</v>
      </c>
      <c r="B232" s="42" t="s">
        <v>82</v>
      </c>
      <c r="C232" s="43" t="str">
        <f>HYPERLINK("https://azurlane.koumakan.jp/Tosa","Tosa")</f>
        <v>Tosa</v>
      </c>
      <c r="D232" s="24" t="s">
        <v>32</v>
      </c>
      <c r="E232" s="22">
        <v>8248.0</v>
      </c>
      <c r="F232" s="22">
        <v>429.0</v>
      </c>
      <c r="G232" s="22">
        <v>220.0</v>
      </c>
      <c r="H232" s="24">
        <v>0.0</v>
      </c>
      <c r="I232" s="22">
        <v>204.0</v>
      </c>
      <c r="J232" s="24">
        <v>147.0</v>
      </c>
      <c r="K232" s="22">
        <v>38.0</v>
      </c>
      <c r="L232" s="24" t="s">
        <v>83</v>
      </c>
      <c r="M232" s="24">
        <v>26.0</v>
      </c>
      <c r="N232" s="24">
        <v>73.0</v>
      </c>
      <c r="O232" s="24">
        <v>12.0</v>
      </c>
      <c r="P232" s="24">
        <v>0.0</v>
      </c>
      <c r="Q232" s="24">
        <v>15.0</v>
      </c>
      <c r="R232" s="24">
        <v>0.0</v>
      </c>
      <c r="S232" s="24">
        <v>0.0</v>
      </c>
      <c r="T232" s="24" t="s">
        <v>143</v>
      </c>
      <c r="U232" s="45"/>
      <c r="V232" s="24" t="s">
        <v>76</v>
      </c>
      <c r="W232" s="104">
        <v>0.1875</v>
      </c>
      <c r="X232" s="28" t="s">
        <v>169</v>
      </c>
      <c r="Y232" s="48"/>
    </row>
    <row r="233" ht="15.75" customHeight="1">
      <c r="A233" s="30">
        <v>218.0</v>
      </c>
      <c r="B233" s="31" t="s">
        <v>91</v>
      </c>
      <c r="C233" s="32" t="str">
        <f>HYPERLINK("https://azurlane.koumakan.jp/Hiyou","Hiyou")</f>
        <v>Hiyou</v>
      </c>
      <c r="D233" s="33" t="s">
        <v>36</v>
      </c>
      <c r="E233" s="33">
        <v>5328.0</v>
      </c>
      <c r="F233" s="33">
        <v>0.0</v>
      </c>
      <c r="G233" s="33">
        <v>0.0</v>
      </c>
      <c r="H233" s="33">
        <v>283.0</v>
      </c>
      <c r="I233" s="33">
        <v>252.0</v>
      </c>
      <c r="J233" s="33">
        <v>160.0</v>
      </c>
      <c r="K233" s="33">
        <v>70.0</v>
      </c>
      <c r="L233" s="33" t="s">
        <v>71</v>
      </c>
      <c r="M233" s="33">
        <v>25.0</v>
      </c>
      <c r="N233" s="33">
        <v>80.0</v>
      </c>
      <c r="O233" s="33">
        <v>43.0</v>
      </c>
      <c r="P233" s="33">
        <v>82.0</v>
      </c>
      <c r="Q233" s="33">
        <v>11.0</v>
      </c>
      <c r="R233" s="33">
        <v>0.0</v>
      </c>
      <c r="S233" s="33">
        <v>0.0</v>
      </c>
      <c r="T233" s="35" t="s">
        <v>143</v>
      </c>
      <c r="U233" s="36" t="s">
        <v>178</v>
      </c>
      <c r="V233" s="61" t="s">
        <v>39</v>
      </c>
      <c r="W233" s="102"/>
      <c r="X233" s="53"/>
      <c r="Y233" s="40"/>
    </row>
    <row r="234" ht="15.75" customHeight="1">
      <c r="A234" s="19">
        <v>219.0</v>
      </c>
      <c r="B234" s="20" t="s">
        <v>91</v>
      </c>
      <c r="C234" s="21" t="str">
        <f>HYPERLINK("https://azurlane.koumakan.jp/Junyou","Junyou")</f>
        <v>Junyou</v>
      </c>
      <c r="D234" s="22" t="s">
        <v>36</v>
      </c>
      <c r="E234" s="22">
        <v>5328.0</v>
      </c>
      <c r="F234" s="22">
        <v>0.0</v>
      </c>
      <c r="G234" s="22">
        <v>0.0</v>
      </c>
      <c r="H234" s="22">
        <v>283.0</v>
      </c>
      <c r="I234" s="22">
        <v>252.0</v>
      </c>
      <c r="J234" s="22">
        <v>160.0</v>
      </c>
      <c r="K234" s="22">
        <v>70.0</v>
      </c>
      <c r="L234" s="22" t="s">
        <v>71</v>
      </c>
      <c r="M234" s="22">
        <v>25.0</v>
      </c>
      <c r="N234" s="22">
        <v>80.0</v>
      </c>
      <c r="O234" s="22">
        <v>80.0</v>
      </c>
      <c r="P234" s="22">
        <v>80.0</v>
      </c>
      <c r="Q234" s="22">
        <v>11.0</v>
      </c>
      <c r="R234" s="22">
        <v>0.0</v>
      </c>
      <c r="S234" s="22">
        <v>0.0</v>
      </c>
      <c r="T234" s="24" t="s">
        <v>143</v>
      </c>
      <c r="U234" s="25" t="s">
        <v>179</v>
      </c>
      <c r="V234" s="75" t="s">
        <v>39</v>
      </c>
      <c r="W234" s="98"/>
      <c r="X234" s="54"/>
      <c r="Y234" s="29"/>
    </row>
    <row r="235" ht="15.75" customHeight="1">
      <c r="A235" s="30">
        <v>220.0</v>
      </c>
      <c r="B235" s="31" t="s">
        <v>91</v>
      </c>
      <c r="C235" s="32" t="str">
        <f>HYPERLINK("https://azurlane.koumakan.jp/Houshou","Houshou")</f>
        <v>Houshou</v>
      </c>
      <c r="D235" s="33" t="s">
        <v>28</v>
      </c>
      <c r="E235" s="33">
        <v>3708.0</v>
      </c>
      <c r="F235" s="33">
        <v>0.0</v>
      </c>
      <c r="G235" s="33">
        <v>0.0</v>
      </c>
      <c r="H235" s="33">
        <v>290.0</v>
      </c>
      <c r="I235" s="33">
        <v>263.0</v>
      </c>
      <c r="J235" s="33">
        <v>178.0</v>
      </c>
      <c r="K235" s="33">
        <v>69.0</v>
      </c>
      <c r="L235" s="33" t="s">
        <v>71</v>
      </c>
      <c r="M235" s="33">
        <v>25.0</v>
      </c>
      <c r="N235" s="33">
        <v>83.0</v>
      </c>
      <c r="O235" s="33">
        <v>79.0</v>
      </c>
      <c r="P235" s="33">
        <v>94.0</v>
      </c>
      <c r="Q235" s="33">
        <v>11.0</v>
      </c>
      <c r="R235" s="33">
        <v>0.0</v>
      </c>
      <c r="S235" s="33">
        <v>0.0</v>
      </c>
      <c r="T235" s="35" t="s">
        <v>143</v>
      </c>
      <c r="U235" s="36" t="s">
        <v>180</v>
      </c>
      <c r="V235" s="37" t="s">
        <v>39</v>
      </c>
      <c r="W235" s="102"/>
      <c r="X235" s="39" t="s">
        <v>181</v>
      </c>
      <c r="Y235" s="40"/>
    </row>
    <row r="236" ht="15.75" customHeight="1">
      <c r="A236" s="19">
        <v>222.0</v>
      </c>
      <c r="B236" s="20" t="s">
        <v>91</v>
      </c>
      <c r="C236" s="21" t="str">
        <f>HYPERLINK("https://azurlane.koumakan.jp/Shouhou","Shouhou")</f>
        <v>Shouhou</v>
      </c>
      <c r="D236" s="22" t="s">
        <v>36</v>
      </c>
      <c r="E236" s="22">
        <v>4385.0</v>
      </c>
      <c r="F236" s="22">
        <v>0.0</v>
      </c>
      <c r="G236" s="22">
        <v>0.0</v>
      </c>
      <c r="H236" s="22">
        <v>283.0</v>
      </c>
      <c r="I236" s="22">
        <v>253.0</v>
      </c>
      <c r="J236" s="22">
        <v>180.0</v>
      </c>
      <c r="K236" s="22">
        <v>72.0</v>
      </c>
      <c r="L236" s="22" t="s">
        <v>71</v>
      </c>
      <c r="M236" s="22">
        <v>28.0</v>
      </c>
      <c r="N236" s="22">
        <v>80.0</v>
      </c>
      <c r="O236" s="22">
        <v>24.0</v>
      </c>
      <c r="P236" s="22">
        <v>85.0</v>
      </c>
      <c r="Q236" s="22">
        <v>10.0</v>
      </c>
      <c r="R236" s="22">
        <v>0.0</v>
      </c>
      <c r="S236" s="22">
        <v>0.0</v>
      </c>
      <c r="T236" s="24" t="s">
        <v>143</v>
      </c>
      <c r="U236" s="25" t="s">
        <v>43</v>
      </c>
      <c r="V236" s="26" t="s">
        <v>39</v>
      </c>
      <c r="W236" s="65"/>
      <c r="X236" s="28" t="s">
        <v>182</v>
      </c>
      <c r="Y236" s="29"/>
    </row>
    <row r="237" ht="15.75" customHeight="1">
      <c r="A237" s="30">
        <v>222.1</v>
      </c>
      <c r="B237" s="31" t="s">
        <v>91</v>
      </c>
      <c r="C237" s="32" t="str">
        <f>HYPERLINK("https://azurlane.koumakan.jp/Shouhou#Retrofit","Shouhou (R)")</f>
        <v>Shouhou (R)</v>
      </c>
      <c r="D237" s="33" t="s">
        <v>28</v>
      </c>
      <c r="E237" s="33">
        <v>4625.0</v>
      </c>
      <c r="F237" s="33">
        <v>0.0</v>
      </c>
      <c r="G237" s="33">
        <v>0.0</v>
      </c>
      <c r="H237" s="33">
        <v>343.0</v>
      </c>
      <c r="I237" s="33">
        <v>288.0</v>
      </c>
      <c r="J237" s="33">
        <v>185.0</v>
      </c>
      <c r="K237" s="33">
        <v>72.0</v>
      </c>
      <c r="L237" s="33" t="s">
        <v>71</v>
      </c>
      <c r="M237" s="33">
        <v>28.0</v>
      </c>
      <c r="N237" s="33">
        <v>80.0</v>
      </c>
      <c r="O237" s="34">
        <v>24.0</v>
      </c>
      <c r="P237" s="33">
        <v>85.0</v>
      </c>
      <c r="Q237" s="33">
        <v>10.0</v>
      </c>
      <c r="R237" s="33">
        <v>0.0</v>
      </c>
      <c r="S237" s="33">
        <v>0.0</v>
      </c>
      <c r="T237" s="35" t="s">
        <v>143</v>
      </c>
      <c r="U237" s="55" t="s">
        <v>42</v>
      </c>
      <c r="W237" s="56"/>
      <c r="X237" s="53"/>
      <c r="Y237" s="40"/>
    </row>
    <row r="238" ht="15.75" customHeight="1">
      <c r="A238" s="19">
        <v>223.0</v>
      </c>
      <c r="B238" s="20" t="s">
        <v>91</v>
      </c>
      <c r="C238" s="21" t="str">
        <f>HYPERLINK("https://azurlane.koumakan.jp/Ryuujou","Ryuujou")</f>
        <v>Ryuujou</v>
      </c>
      <c r="D238" s="22" t="s">
        <v>28</v>
      </c>
      <c r="E238" s="22">
        <v>4381.0</v>
      </c>
      <c r="F238" s="22">
        <v>0.0</v>
      </c>
      <c r="G238" s="22">
        <v>0.0</v>
      </c>
      <c r="H238" s="22">
        <v>352.0</v>
      </c>
      <c r="I238" s="22">
        <v>257.0</v>
      </c>
      <c r="J238" s="22">
        <v>181.0</v>
      </c>
      <c r="K238" s="22">
        <v>85.0</v>
      </c>
      <c r="L238" s="22" t="s">
        <v>71</v>
      </c>
      <c r="M238" s="22">
        <v>28.0</v>
      </c>
      <c r="N238" s="22">
        <v>92.0</v>
      </c>
      <c r="O238" s="22">
        <v>42.0</v>
      </c>
      <c r="P238" s="22">
        <v>73.0</v>
      </c>
      <c r="Q238" s="22">
        <v>11.0</v>
      </c>
      <c r="R238" s="22">
        <v>0.0</v>
      </c>
      <c r="S238" s="22">
        <v>0.0</v>
      </c>
      <c r="T238" s="24" t="s">
        <v>143</v>
      </c>
      <c r="U238" s="58"/>
      <c r="V238" s="75" t="s">
        <v>76</v>
      </c>
      <c r="W238" s="76">
        <v>0.09861111111111111</v>
      </c>
      <c r="X238" s="28" t="s">
        <v>183</v>
      </c>
      <c r="Y238" s="29"/>
    </row>
    <row r="239" ht="15.75" customHeight="1">
      <c r="A239" s="30">
        <v>224.0</v>
      </c>
      <c r="B239" s="31" t="s">
        <v>95</v>
      </c>
      <c r="C239" s="32" t="str">
        <f>HYPERLINK("https://azurlane.koumakan.jp/Akagi","Akagi")</f>
        <v>Akagi</v>
      </c>
      <c r="D239" s="33" t="s">
        <v>32</v>
      </c>
      <c r="E239" s="33">
        <v>6741.0</v>
      </c>
      <c r="F239" s="33">
        <v>0.0</v>
      </c>
      <c r="G239" s="33">
        <v>0.0</v>
      </c>
      <c r="H239" s="33">
        <v>415.0</v>
      </c>
      <c r="I239" s="33">
        <v>339.0</v>
      </c>
      <c r="J239" s="33">
        <v>132.0</v>
      </c>
      <c r="K239" s="33">
        <v>56.0</v>
      </c>
      <c r="L239" s="33" t="s">
        <v>71</v>
      </c>
      <c r="M239" s="33">
        <v>31.0</v>
      </c>
      <c r="N239" s="33">
        <v>92.0</v>
      </c>
      <c r="O239" s="33">
        <v>42.0</v>
      </c>
      <c r="P239" s="33">
        <v>0.0</v>
      </c>
      <c r="Q239" s="33">
        <v>13.0</v>
      </c>
      <c r="R239" s="33">
        <v>0.0</v>
      </c>
      <c r="S239" s="33">
        <v>0.0</v>
      </c>
      <c r="T239" s="35" t="s">
        <v>143</v>
      </c>
      <c r="U239" s="36" t="s">
        <v>184</v>
      </c>
      <c r="V239" s="37" t="s">
        <v>39</v>
      </c>
      <c r="W239" s="52"/>
      <c r="X239" s="39" t="s">
        <v>185</v>
      </c>
      <c r="Y239" s="40"/>
    </row>
    <row r="240" ht="15.75" customHeight="1">
      <c r="A240" s="19">
        <v>225.0</v>
      </c>
      <c r="B240" s="20" t="s">
        <v>95</v>
      </c>
      <c r="C240" s="21" t="str">
        <f>HYPERLINK("https://azurlane.koumakan.jp/Kaga","Kaga")</f>
        <v>Kaga</v>
      </c>
      <c r="D240" s="22" t="s">
        <v>32</v>
      </c>
      <c r="E240" s="22">
        <v>6928.0</v>
      </c>
      <c r="F240" s="22">
        <v>0.0</v>
      </c>
      <c r="G240" s="22">
        <v>0.0</v>
      </c>
      <c r="H240" s="22">
        <v>413.0</v>
      </c>
      <c r="I240" s="22">
        <v>339.0</v>
      </c>
      <c r="J240" s="22">
        <v>132.0</v>
      </c>
      <c r="K240" s="22">
        <v>50.0</v>
      </c>
      <c r="L240" s="22" t="s">
        <v>71</v>
      </c>
      <c r="M240" s="22">
        <v>28.0</v>
      </c>
      <c r="N240" s="22">
        <v>92.0</v>
      </c>
      <c r="O240" s="22">
        <v>42.0</v>
      </c>
      <c r="P240" s="22">
        <v>0.0</v>
      </c>
      <c r="Q240" s="22">
        <v>13.0</v>
      </c>
      <c r="R240" s="22">
        <v>0.0</v>
      </c>
      <c r="S240" s="22">
        <v>0.0</v>
      </c>
      <c r="T240" s="24" t="s">
        <v>143</v>
      </c>
      <c r="U240" s="25" t="s">
        <v>184</v>
      </c>
      <c r="V240" s="75" t="s">
        <v>39</v>
      </c>
      <c r="W240" s="98"/>
      <c r="X240" s="28" t="s">
        <v>186</v>
      </c>
      <c r="Y240" s="29"/>
    </row>
    <row r="241" ht="15.75" customHeight="1">
      <c r="A241" s="30">
        <v>226.0</v>
      </c>
      <c r="B241" s="31" t="s">
        <v>95</v>
      </c>
      <c r="C241" s="32" t="str">
        <f>HYPERLINK("https://azurlane.koumakan.jp/Souryuu","Souryuu")</f>
        <v>Souryuu</v>
      </c>
      <c r="D241" s="33" t="s">
        <v>28</v>
      </c>
      <c r="E241" s="33">
        <v>5370.0</v>
      </c>
      <c r="F241" s="33">
        <v>0.0</v>
      </c>
      <c r="G241" s="33">
        <v>0.0</v>
      </c>
      <c r="H241" s="33">
        <v>395.0</v>
      </c>
      <c r="I241" s="33">
        <v>319.0</v>
      </c>
      <c r="J241" s="33">
        <v>123.0</v>
      </c>
      <c r="K241" s="33">
        <v>58.0</v>
      </c>
      <c r="L241" s="33" t="s">
        <v>71</v>
      </c>
      <c r="M241" s="33">
        <v>34.0</v>
      </c>
      <c r="N241" s="33">
        <v>87.0</v>
      </c>
      <c r="O241" s="33">
        <v>36.0</v>
      </c>
      <c r="P241" s="33">
        <v>0.0</v>
      </c>
      <c r="Q241" s="33">
        <v>12.0</v>
      </c>
      <c r="R241" s="33">
        <v>0.0</v>
      </c>
      <c r="S241" s="33">
        <v>0.0</v>
      </c>
      <c r="T241" s="35" t="s">
        <v>143</v>
      </c>
      <c r="U241" s="36" t="s">
        <v>70</v>
      </c>
      <c r="V241" s="37" t="s">
        <v>39</v>
      </c>
      <c r="W241" s="102"/>
      <c r="X241" s="39" t="s">
        <v>187</v>
      </c>
      <c r="Y241" s="40"/>
    </row>
    <row r="242" ht="15.75" customHeight="1">
      <c r="A242" s="19">
        <v>226.1</v>
      </c>
      <c r="B242" s="20" t="s">
        <v>95</v>
      </c>
      <c r="C242" s="21" t="str">
        <f>HYPERLINK("https://azurlane.koumakan.jp/Souryuu#Retrofit","Souryuu (R)")</f>
        <v>Souryuu (R)</v>
      </c>
      <c r="D242" s="22" t="s">
        <v>32</v>
      </c>
      <c r="E242" s="22">
        <v>5580.0</v>
      </c>
      <c r="F242" s="22">
        <v>0.0</v>
      </c>
      <c r="G242" s="22">
        <v>0.0</v>
      </c>
      <c r="H242" s="22">
        <v>430.0</v>
      </c>
      <c r="I242" s="22">
        <v>369.0</v>
      </c>
      <c r="J242" s="22">
        <v>143.0</v>
      </c>
      <c r="K242" s="22">
        <v>68.0</v>
      </c>
      <c r="L242" s="22" t="s">
        <v>71</v>
      </c>
      <c r="M242" s="22">
        <v>34.0</v>
      </c>
      <c r="N242" s="22">
        <v>87.0</v>
      </c>
      <c r="O242" s="23">
        <v>36.0</v>
      </c>
      <c r="P242" s="22">
        <v>0.0</v>
      </c>
      <c r="Q242" s="22">
        <v>12.0</v>
      </c>
      <c r="R242" s="22">
        <v>0.0</v>
      </c>
      <c r="S242" s="22">
        <v>0.0</v>
      </c>
      <c r="T242" s="24" t="s">
        <v>143</v>
      </c>
      <c r="U242" s="59" t="s">
        <v>42</v>
      </c>
      <c r="W242" s="60"/>
      <c r="X242" s="28" t="s">
        <v>187</v>
      </c>
      <c r="Y242" s="29"/>
    </row>
    <row r="243" ht="15.75" customHeight="1">
      <c r="A243" s="30">
        <v>227.0</v>
      </c>
      <c r="B243" s="31" t="s">
        <v>95</v>
      </c>
      <c r="C243" s="32" t="str">
        <f>HYPERLINK("https://azurlane.koumakan.jp/Hiryuu","Hiryuu")</f>
        <v>Hiryuu</v>
      </c>
      <c r="D243" s="33" t="s">
        <v>28</v>
      </c>
      <c r="E243" s="33">
        <v>5598.0</v>
      </c>
      <c r="F243" s="33">
        <v>0.0</v>
      </c>
      <c r="G243" s="33">
        <v>0.0</v>
      </c>
      <c r="H243" s="33">
        <v>396.0</v>
      </c>
      <c r="I243" s="33">
        <v>317.0</v>
      </c>
      <c r="J243" s="33">
        <v>123.0</v>
      </c>
      <c r="K243" s="33">
        <v>58.0</v>
      </c>
      <c r="L243" s="33" t="s">
        <v>71</v>
      </c>
      <c r="M243" s="33">
        <v>34.0</v>
      </c>
      <c r="N243" s="33">
        <v>87.0</v>
      </c>
      <c r="O243" s="33">
        <v>36.0</v>
      </c>
      <c r="P243" s="33">
        <v>0.0</v>
      </c>
      <c r="Q243" s="33">
        <v>12.0</v>
      </c>
      <c r="R243" s="33">
        <v>0.0</v>
      </c>
      <c r="S243" s="33">
        <v>0.0</v>
      </c>
      <c r="T243" s="35" t="s">
        <v>143</v>
      </c>
      <c r="U243" s="36" t="s">
        <v>70</v>
      </c>
      <c r="V243" s="37" t="s">
        <v>39</v>
      </c>
      <c r="W243" s="102"/>
      <c r="X243" s="39" t="s">
        <v>188</v>
      </c>
      <c r="Y243" s="40"/>
    </row>
    <row r="244" ht="15.75" customHeight="1">
      <c r="A244" s="19">
        <v>227.1</v>
      </c>
      <c r="B244" s="20" t="s">
        <v>95</v>
      </c>
      <c r="C244" s="21" t="str">
        <f>HYPERLINK("https://azurlane.koumakan.jp/Hiryuu#Retrofit","Hiryuu (R)")</f>
        <v>Hiryuu (R)</v>
      </c>
      <c r="D244" s="22" t="s">
        <v>32</v>
      </c>
      <c r="E244" s="22">
        <v>5808.0</v>
      </c>
      <c r="F244" s="22">
        <v>0.0</v>
      </c>
      <c r="G244" s="22">
        <v>0.0</v>
      </c>
      <c r="H244" s="22">
        <v>431.0</v>
      </c>
      <c r="I244" s="22">
        <v>367.0</v>
      </c>
      <c r="J244" s="22">
        <v>143.0</v>
      </c>
      <c r="K244" s="22">
        <v>68.0</v>
      </c>
      <c r="L244" s="22" t="s">
        <v>71</v>
      </c>
      <c r="M244" s="22">
        <v>34.0</v>
      </c>
      <c r="N244" s="22">
        <v>87.0</v>
      </c>
      <c r="O244" s="23">
        <v>36.0</v>
      </c>
      <c r="P244" s="22">
        <v>0.0</v>
      </c>
      <c r="Q244" s="22">
        <v>12.0</v>
      </c>
      <c r="R244" s="22">
        <v>0.0</v>
      </c>
      <c r="S244" s="22">
        <v>0.0</v>
      </c>
      <c r="T244" s="24" t="s">
        <v>143</v>
      </c>
      <c r="U244" s="59" t="s">
        <v>42</v>
      </c>
      <c r="W244" s="60"/>
      <c r="X244" s="28" t="s">
        <v>188</v>
      </c>
      <c r="Y244" s="29"/>
    </row>
    <row r="245" ht="15.75" customHeight="1">
      <c r="A245" s="30">
        <v>228.0</v>
      </c>
      <c r="B245" s="31" t="s">
        <v>95</v>
      </c>
      <c r="C245" s="32" t="str">
        <f>HYPERLINK("https://azurlane.koumakan.jp/Shoukaku","Shoukaku")</f>
        <v>Shoukaku</v>
      </c>
      <c r="D245" s="33" t="s">
        <v>32</v>
      </c>
      <c r="E245" s="33">
        <v>6885.0</v>
      </c>
      <c r="F245" s="33">
        <v>0.0</v>
      </c>
      <c r="G245" s="33">
        <v>0.0</v>
      </c>
      <c r="H245" s="33">
        <v>417.0</v>
      </c>
      <c r="I245" s="33">
        <v>357.0</v>
      </c>
      <c r="J245" s="33">
        <v>121.0</v>
      </c>
      <c r="K245" s="33">
        <v>58.0</v>
      </c>
      <c r="L245" s="33" t="s">
        <v>71</v>
      </c>
      <c r="M245" s="33">
        <v>34.0</v>
      </c>
      <c r="N245" s="33">
        <v>90.0</v>
      </c>
      <c r="O245" s="33">
        <v>49.0</v>
      </c>
      <c r="P245" s="33">
        <v>0.0</v>
      </c>
      <c r="Q245" s="33">
        <v>13.0</v>
      </c>
      <c r="R245" s="33">
        <v>0.0</v>
      </c>
      <c r="S245" s="33">
        <v>0.0</v>
      </c>
      <c r="T245" s="35" t="s">
        <v>143</v>
      </c>
      <c r="U245" s="57"/>
      <c r="V245" s="37" t="s">
        <v>92</v>
      </c>
      <c r="W245" s="38">
        <v>0.1875</v>
      </c>
      <c r="X245" s="39" t="s">
        <v>155</v>
      </c>
      <c r="Y245" s="40"/>
    </row>
    <row r="246" ht="15.75" customHeight="1">
      <c r="A246" s="19">
        <v>229.0</v>
      </c>
      <c r="B246" s="20" t="s">
        <v>95</v>
      </c>
      <c r="C246" s="21" t="str">
        <f>HYPERLINK("https://azurlane.koumakan.jp/Zuikaku","Zuikaku")</f>
        <v>Zuikaku</v>
      </c>
      <c r="D246" s="22" t="s">
        <v>32</v>
      </c>
      <c r="E246" s="22">
        <v>7360.0</v>
      </c>
      <c r="F246" s="22">
        <v>0.0</v>
      </c>
      <c r="G246" s="22">
        <v>0.0</v>
      </c>
      <c r="H246" s="22">
        <v>420.0</v>
      </c>
      <c r="I246" s="22">
        <v>330.0</v>
      </c>
      <c r="J246" s="22">
        <v>121.0</v>
      </c>
      <c r="K246" s="22">
        <v>59.0</v>
      </c>
      <c r="L246" s="22" t="s">
        <v>71</v>
      </c>
      <c r="M246" s="22">
        <v>34.0</v>
      </c>
      <c r="N246" s="22">
        <v>90.0</v>
      </c>
      <c r="O246" s="22">
        <v>73.0</v>
      </c>
      <c r="P246" s="22">
        <v>0.0</v>
      </c>
      <c r="Q246" s="22">
        <v>13.0</v>
      </c>
      <c r="R246" s="22">
        <v>0.0</v>
      </c>
      <c r="S246" s="22">
        <v>0.0</v>
      </c>
      <c r="T246" s="24" t="s">
        <v>143</v>
      </c>
      <c r="U246" s="58"/>
      <c r="V246" s="26" t="s">
        <v>92</v>
      </c>
      <c r="W246" s="76">
        <v>0.1875</v>
      </c>
      <c r="X246" s="28" t="s">
        <v>155</v>
      </c>
      <c r="Y246" s="29"/>
    </row>
    <row r="247" ht="15.75" customHeight="1">
      <c r="A247" s="30">
        <v>230.0</v>
      </c>
      <c r="B247" s="31" t="s">
        <v>95</v>
      </c>
      <c r="C247" s="32" t="str">
        <f>HYPERLINK("https://azurlane.koumakan.jp/Taihou","Taihou")</f>
        <v>Taihou</v>
      </c>
      <c r="D247" s="33" t="s">
        <v>32</v>
      </c>
      <c r="E247" s="33">
        <v>7481.0</v>
      </c>
      <c r="F247" s="33">
        <v>0.0</v>
      </c>
      <c r="G247" s="33">
        <v>0.0</v>
      </c>
      <c r="H247" s="33">
        <v>405.0</v>
      </c>
      <c r="I247" s="33">
        <v>326.0</v>
      </c>
      <c r="J247" s="33">
        <v>121.0</v>
      </c>
      <c r="K247" s="33">
        <v>56.0</v>
      </c>
      <c r="L247" s="33" t="s">
        <v>83</v>
      </c>
      <c r="M247" s="33">
        <v>33.0</v>
      </c>
      <c r="N247" s="33">
        <v>84.0</v>
      </c>
      <c r="O247" s="33">
        <v>36.0</v>
      </c>
      <c r="P247" s="33">
        <v>0.0</v>
      </c>
      <c r="Q247" s="33">
        <v>13.0</v>
      </c>
      <c r="R247" s="33">
        <v>0.0</v>
      </c>
      <c r="S247" s="33">
        <v>0.0</v>
      </c>
      <c r="T247" s="35" t="s">
        <v>143</v>
      </c>
      <c r="U247" s="57"/>
      <c r="V247" s="61" t="s">
        <v>92</v>
      </c>
      <c r="W247" s="62">
        <v>0.19791666666666666</v>
      </c>
      <c r="X247" s="39" t="s">
        <v>189</v>
      </c>
      <c r="Y247" s="40"/>
    </row>
    <row r="248" ht="15.75" customHeight="1">
      <c r="A248" s="41">
        <v>231.0</v>
      </c>
      <c r="B248" s="42" t="s">
        <v>95</v>
      </c>
      <c r="C248" s="43" t="s">
        <v>190</v>
      </c>
      <c r="D248" s="24" t="s">
        <v>34</v>
      </c>
      <c r="E248" s="24">
        <v>8818.0</v>
      </c>
      <c r="F248" s="24">
        <v>0.0</v>
      </c>
      <c r="G248" s="24">
        <v>0.0</v>
      </c>
      <c r="H248" s="24">
        <v>443.0</v>
      </c>
      <c r="I248" s="24">
        <v>324.0</v>
      </c>
      <c r="J248" s="24">
        <v>128.0</v>
      </c>
      <c r="K248" s="24">
        <v>50.0</v>
      </c>
      <c r="L248" s="24" t="s">
        <v>83</v>
      </c>
      <c r="M248" s="24">
        <v>28.0</v>
      </c>
      <c r="N248" s="24">
        <v>80.0</v>
      </c>
      <c r="O248" s="24">
        <v>32.0</v>
      </c>
      <c r="P248" s="24">
        <v>0.0</v>
      </c>
      <c r="Q248" s="24">
        <v>15.0</v>
      </c>
      <c r="R248" s="24">
        <v>0.0</v>
      </c>
      <c r="S248" s="24">
        <v>0.0</v>
      </c>
      <c r="T248" s="24" t="s">
        <v>143</v>
      </c>
      <c r="U248" s="45"/>
      <c r="V248" s="24" t="s">
        <v>76</v>
      </c>
      <c r="W248" s="66">
        <v>0.21875</v>
      </c>
      <c r="X248" s="47"/>
      <c r="Y248" s="48"/>
    </row>
    <row r="249" ht="15.75" customHeight="1">
      <c r="A249" s="30">
        <v>232.0</v>
      </c>
      <c r="B249" s="31" t="s">
        <v>102</v>
      </c>
      <c r="C249" s="32" t="str">
        <f>HYPERLINK("https://azurlane.koumakan.jp/Akashi","Akashi")</f>
        <v>Akashi</v>
      </c>
      <c r="D249" s="33" t="s">
        <v>32</v>
      </c>
      <c r="E249" s="33">
        <v>4223.0</v>
      </c>
      <c r="F249" s="33">
        <v>44.0</v>
      </c>
      <c r="G249" s="33">
        <v>0.0</v>
      </c>
      <c r="H249" s="33">
        <v>0.0</v>
      </c>
      <c r="I249" s="33">
        <v>164.0</v>
      </c>
      <c r="J249" s="33">
        <v>183.0</v>
      </c>
      <c r="K249" s="33">
        <v>47.0</v>
      </c>
      <c r="L249" s="33" t="s">
        <v>29</v>
      </c>
      <c r="M249" s="33">
        <v>19.0</v>
      </c>
      <c r="N249" s="33">
        <v>110.0</v>
      </c>
      <c r="O249" s="33">
        <v>53.0</v>
      </c>
      <c r="P249" s="33">
        <v>0.0</v>
      </c>
      <c r="Q249" s="33">
        <v>11.0</v>
      </c>
      <c r="R249" s="33">
        <v>0.0</v>
      </c>
      <c r="S249" s="33">
        <v>0.0</v>
      </c>
      <c r="T249" s="35" t="s">
        <v>143</v>
      </c>
      <c r="U249" s="57"/>
      <c r="V249" s="61" t="s">
        <v>191</v>
      </c>
      <c r="W249" s="62">
        <v>0.06597222222222222</v>
      </c>
      <c r="X249" s="39" t="s">
        <v>192</v>
      </c>
      <c r="Y249" s="40"/>
    </row>
    <row r="250" ht="15.75" customHeight="1">
      <c r="A250" s="19">
        <v>233.0</v>
      </c>
      <c r="B250" s="20" t="s">
        <v>27</v>
      </c>
      <c r="C250" s="21" t="str">
        <f>HYPERLINK("https://azurlane.koumakan.jp/Z1","Z1")</f>
        <v>Z1</v>
      </c>
      <c r="D250" s="22" t="s">
        <v>28</v>
      </c>
      <c r="E250" s="22">
        <v>2102.0</v>
      </c>
      <c r="F250" s="22">
        <v>66.0</v>
      </c>
      <c r="G250" s="22">
        <v>455.0</v>
      </c>
      <c r="H250" s="22">
        <v>0.0</v>
      </c>
      <c r="I250" s="22">
        <v>157.0</v>
      </c>
      <c r="J250" s="22">
        <v>210.0</v>
      </c>
      <c r="K250" s="22">
        <v>192.0</v>
      </c>
      <c r="L250" s="22" t="s">
        <v>29</v>
      </c>
      <c r="M250" s="22">
        <v>41.0</v>
      </c>
      <c r="N250" s="22">
        <v>194.0</v>
      </c>
      <c r="O250" s="22">
        <v>40.0</v>
      </c>
      <c r="P250" s="22">
        <v>200.0</v>
      </c>
      <c r="Q250" s="22">
        <v>9.0</v>
      </c>
      <c r="R250" s="22">
        <v>0.0</v>
      </c>
      <c r="S250" s="22">
        <v>0.0</v>
      </c>
      <c r="T250" s="24" t="s">
        <v>193</v>
      </c>
      <c r="U250" s="25" t="s">
        <v>56</v>
      </c>
      <c r="V250" s="26" t="s">
        <v>29</v>
      </c>
      <c r="W250" s="76">
        <v>0.02013888888888889</v>
      </c>
      <c r="X250" s="28" t="s">
        <v>194</v>
      </c>
      <c r="Y250" s="29"/>
    </row>
    <row r="251" ht="15.75" customHeight="1">
      <c r="A251" s="30">
        <v>233.1</v>
      </c>
      <c r="B251" s="31" t="s">
        <v>27</v>
      </c>
      <c r="C251" s="32" t="str">
        <f>HYPERLINK("https://azurlane.koumakan.jp/Z1#Retrofit","Z1 (R)")</f>
        <v>Z1 (R)</v>
      </c>
      <c r="D251" s="33" t="s">
        <v>32</v>
      </c>
      <c r="E251" s="33">
        <v>2267.0</v>
      </c>
      <c r="F251" s="33">
        <v>86.0</v>
      </c>
      <c r="G251" s="33">
        <v>495.0</v>
      </c>
      <c r="H251" s="33">
        <v>0.0</v>
      </c>
      <c r="I251" s="33">
        <v>232.0</v>
      </c>
      <c r="J251" s="33">
        <v>210.0</v>
      </c>
      <c r="K251" s="33">
        <v>197.0</v>
      </c>
      <c r="L251" s="33" t="s">
        <v>29</v>
      </c>
      <c r="M251" s="33">
        <v>41.0</v>
      </c>
      <c r="N251" s="33">
        <v>194.0</v>
      </c>
      <c r="O251" s="33">
        <v>40.0</v>
      </c>
      <c r="P251" s="33">
        <v>210.0</v>
      </c>
      <c r="Q251" s="33">
        <v>9.0</v>
      </c>
      <c r="R251" s="33">
        <v>0.0</v>
      </c>
      <c r="S251" s="33">
        <v>0.0</v>
      </c>
      <c r="T251" s="35" t="s">
        <v>193</v>
      </c>
      <c r="U251" s="94" t="s">
        <v>42</v>
      </c>
      <c r="W251" s="56"/>
      <c r="X251" s="95"/>
      <c r="Y251" s="74"/>
    </row>
    <row r="252" ht="15.75" customHeight="1">
      <c r="A252" s="19">
        <v>236.0</v>
      </c>
      <c r="B252" s="20" t="s">
        <v>27</v>
      </c>
      <c r="C252" s="21" t="str">
        <f>HYPERLINK("https://azurlane.koumakan.jp/Z23","Z23")</f>
        <v>Z23</v>
      </c>
      <c r="D252" s="22" t="s">
        <v>28</v>
      </c>
      <c r="E252" s="22">
        <v>2177.0</v>
      </c>
      <c r="F252" s="22">
        <v>122.0</v>
      </c>
      <c r="G252" s="22">
        <v>331.0</v>
      </c>
      <c r="H252" s="22">
        <v>0.0</v>
      </c>
      <c r="I252" s="22">
        <v>153.0</v>
      </c>
      <c r="J252" s="22">
        <v>202.0</v>
      </c>
      <c r="K252" s="22">
        <v>203.0</v>
      </c>
      <c r="L252" s="22" t="s">
        <v>29</v>
      </c>
      <c r="M252" s="22">
        <v>42.0</v>
      </c>
      <c r="N252" s="22">
        <v>197.0</v>
      </c>
      <c r="O252" s="22">
        <v>65.0</v>
      </c>
      <c r="P252" s="22">
        <v>204.0</v>
      </c>
      <c r="Q252" s="22">
        <v>9.0</v>
      </c>
      <c r="R252" s="22">
        <v>0.0</v>
      </c>
      <c r="S252" s="22">
        <v>0.0</v>
      </c>
      <c r="T252" s="24" t="s">
        <v>193</v>
      </c>
      <c r="U252" s="25" t="s">
        <v>67</v>
      </c>
      <c r="V252" s="26" t="s">
        <v>29</v>
      </c>
      <c r="W252" s="76">
        <v>0.022916666666666665</v>
      </c>
      <c r="X252" s="28" t="s">
        <v>195</v>
      </c>
      <c r="Y252" s="29"/>
    </row>
    <row r="253" ht="15.75" customHeight="1">
      <c r="A253" s="30">
        <v>236.1</v>
      </c>
      <c r="B253" s="31" t="s">
        <v>27</v>
      </c>
      <c r="C253" s="32" t="str">
        <f>HYPERLINK("https://azurlane.koumakan.jp/Z23#Retrofit","Z23 (R)")</f>
        <v>Z23 (R)</v>
      </c>
      <c r="D253" s="33" t="s">
        <v>32</v>
      </c>
      <c r="E253" s="33">
        <v>2342.0</v>
      </c>
      <c r="F253" s="33">
        <v>172.0</v>
      </c>
      <c r="G253" s="33">
        <v>351.0</v>
      </c>
      <c r="H253" s="33">
        <v>0.0</v>
      </c>
      <c r="I253" s="33">
        <v>218.0</v>
      </c>
      <c r="J253" s="33">
        <v>202.0</v>
      </c>
      <c r="K253" s="33">
        <v>208.0</v>
      </c>
      <c r="L253" s="33" t="s">
        <v>29</v>
      </c>
      <c r="M253" s="33">
        <v>42.0</v>
      </c>
      <c r="N253" s="33">
        <v>197.0</v>
      </c>
      <c r="O253" s="34">
        <v>65.0</v>
      </c>
      <c r="P253" s="33">
        <v>224.0</v>
      </c>
      <c r="Q253" s="33">
        <v>9.0</v>
      </c>
      <c r="R253" s="33">
        <v>0.0</v>
      </c>
      <c r="S253" s="33">
        <v>0.0</v>
      </c>
      <c r="T253" s="35" t="s">
        <v>193</v>
      </c>
      <c r="U253" s="55" t="s">
        <v>42</v>
      </c>
      <c r="W253" s="56"/>
      <c r="X253" s="53"/>
      <c r="Y253" s="40"/>
    </row>
    <row r="254" ht="15.75" customHeight="1">
      <c r="A254" s="19">
        <v>237.0</v>
      </c>
      <c r="B254" s="20" t="s">
        <v>27</v>
      </c>
      <c r="C254" s="21" t="str">
        <f>HYPERLINK("https://azurlane.koumakan.jp/Z25","Z25")</f>
        <v>Z25</v>
      </c>
      <c r="D254" s="22" t="s">
        <v>28</v>
      </c>
      <c r="E254" s="22">
        <v>2167.0</v>
      </c>
      <c r="F254" s="22">
        <v>122.0</v>
      </c>
      <c r="G254" s="22">
        <v>331.0</v>
      </c>
      <c r="H254" s="22">
        <v>0.0</v>
      </c>
      <c r="I254" s="22">
        <v>157.0</v>
      </c>
      <c r="J254" s="22">
        <v>193.0</v>
      </c>
      <c r="K254" s="22">
        <v>201.0</v>
      </c>
      <c r="L254" s="22" t="s">
        <v>29</v>
      </c>
      <c r="M254" s="22">
        <v>43.0</v>
      </c>
      <c r="N254" s="22">
        <v>190.0</v>
      </c>
      <c r="O254" s="22">
        <v>72.0</v>
      </c>
      <c r="P254" s="22">
        <v>204.0</v>
      </c>
      <c r="Q254" s="22">
        <v>9.0</v>
      </c>
      <c r="R254" s="22">
        <v>0.0</v>
      </c>
      <c r="S254" s="22">
        <v>0.0</v>
      </c>
      <c r="T254" s="24" t="s">
        <v>193</v>
      </c>
      <c r="U254" s="58"/>
      <c r="V254" s="26" t="s">
        <v>29</v>
      </c>
      <c r="W254" s="76">
        <v>0.022916666666666665</v>
      </c>
      <c r="X254" s="28" t="s">
        <v>196</v>
      </c>
      <c r="Y254" s="29"/>
    </row>
    <row r="255" ht="15.75" customHeight="1">
      <c r="A255" s="30">
        <v>238.0</v>
      </c>
      <c r="B255" s="31" t="s">
        <v>52</v>
      </c>
      <c r="C255" s="32" t="str">
        <f>HYPERLINK("https://azurlane.koumakan.jp/K%C3%B6nigsberg","Konigsberg")</f>
        <v>Konigsberg</v>
      </c>
      <c r="D255" s="33" t="s">
        <v>40</v>
      </c>
      <c r="E255" s="33">
        <v>3450.0</v>
      </c>
      <c r="F255" s="33">
        <v>155.0</v>
      </c>
      <c r="G255" s="33">
        <v>276.0</v>
      </c>
      <c r="H255" s="33">
        <v>0.0</v>
      </c>
      <c r="I255" s="33">
        <v>341.0</v>
      </c>
      <c r="J255" s="33">
        <v>177.0</v>
      </c>
      <c r="K255" s="33">
        <v>126.0</v>
      </c>
      <c r="L255" s="33" t="s">
        <v>29</v>
      </c>
      <c r="M255" s="33">
        <v>32.0</v>
      </c>
      <c r="N255" s="33">
        <v>157.0</v>
      </c>
      <c r="O255" s="33">
        <v>42.0</v>
      </c>
      <c r="P255" s="33">
        <v>105.0</v>
      </c>
      <c r="Q255" s="33">
        <v>8.0</v>
      </c>
      <c r="R255" s="33">
        <v>0.0</v>
      </c>
      <c r="S255" s="33">
        <v>0.0</v>
      </c>
      <c r="T255" s="35" t="s">
        <v>193</v>
      </c>
      <c r="U255" s="36" t="s">
        <v>48</v>
      </c>
      <c r="V255" s="61" t="s">
        <v>54</v>
      </c>
      <c r="W255" s="62">
        <v>0.04861111111111111</v>
      </c>
      <c r="X255" s="53"/>
      <c r="Y255" s="40"/>
    </row>
    <row r="256" ht="15.75" customHeight="1">
      <c r="A256" s="19">
        <v>239.0</v>
      </c>
      <c r="B256" s="20" t="s">
        <v>52</v>
      </c>
      <c r="C256" s="21" t="str">
        <f>HYPERLINK("https://azurlane.koumakan.jp/Karlsruhe","Karlsruhe")</f>
        <v>Karlsruhe</v>
      </c>
      <c r="D256" s="22" t="s">
        <v>40</v>
      </c>
      <c r="E256" s="22">
        <v>3450.0</v>
      </c>
      <c r="F256" s="22">
        <v>155.0</v>
      </c>
      <c r="G256" s="22">
        <v>276.0</v>
      </c>
      <c r="H256" s="22">
        <v>0.0</v>
      </c>
      <c r="I256" s="22">
        <v>341.0</v>
      </c>
      <c r="J256" s="22">
        <v>177.0</v>
      </c>
      <c r="K256" s="22">
        <v>126.0</v>
      </c>
      <c r="L256" s="22" t="s">
        <v>29</v>
      </c>
      <c r="M256" s="22">
        <v>32.0</v>
      </c>
      <c r="N256" s="22">
        <v>157.0</v>
      </c>
      <c r="O256" s="22">
        <v>39.0</v>
      </c>
      <c r="P256" s="22">
        <v>89.0</v>
      </c>
      <c r="Q256" s="22">
        <v>8.0</v>
      </c>
      <c r="R256" s="22">
        <v>0.0</v>
      </c>
      <c r="S256" s="22">
        <v>0.0</v>
      </c>
      <c r="T256" s="24" t="s">
        <v>193</v>
      </c>
      <c r="U256" s="25" t="s">
        <v>48</v>
      </c>
      <c r="V256" s="26" t="s">
        <v>54</v>
      </c>
      <c r="W256" s="27">
        <v>0.04861111111111111</v>
      </c>
      <c r="X256" s="54"/>
      <c r="Y256" s="29"/>
    </row>
    <row r="257" ht="15.75" customHeight="1">
      <c r="A257" s="30">
        <v>239.1</v>
      </c>
      <c r="B257" s="31" t="s">
        <v>52</v>
      </c>
      <c r="C257" s="32" t="str">
        <f>HYPERLINK("https://azurlane.koumakan.jp/Karlsruhe#Retrofit","Karlsruhe (R)")</f>
        <v>Karlsruhe (R)</v>
      </c>
      <c r="D257" s="33" t="s">
        <v>36</v>
      </c>
      <c r="E257" s="33">
        <v>3690.0</v>
      </c>
      <c r="F257" s="33">
        <v>175.0</v>
      </c>
      <c r="G257" s="33">
        <v>321.0</v>
      </c>
      <c r="H257" s="33">
        <v>0.0</v>
      </c>
      <c r="I257" s="33">
        <v>356.0</v>
      </c>
      <c r="J257" s="33">
        <v>182.0</v>
      </c>
      <c r="K257" s="33">
        <v>126.0</v>
      </c>
      <c r="L257" s="33" t="s">
        <v>29</v>
      </c>
      <c r="M257" s="33">
        <v>32.0</v>
      </c>
      <c r="N257" s="33">
        <v>157.0</v>
      </c>
      <c r="O257" s="34">
        <v>39.0</v>
      </c>
      <c r="P257" s="33">
        <v>89.0</v>
      </c>
      <c r="Q257" s="33">
        <v>8.0</v>
      </c>
      <c r="R257" s="33">
        <v>0.0</v>
      </c>
      <c r="S257" s="33">
        <v>0.0</v>
      </c>
      <c r="T257" s="35" t="s">
        <v>193</v>
      </c>
      <c r="U257" s="55" t="s">
        <v>42</v>
      </c>
      <c r="W257" s="56"/>
      <c r="X257" s="53"/>
      <c r="Y257" s="40"/>
    </row>
    <row r="258" ht="15.75" customHeight="1">
      <c r="A258" s="19">
        <v>240.0</v>
      </c>
      <c r="B258" s="20" t="s">
        <v>52</v>
      </c>
      <c r="C258" s="21" t="str">
        <f>HYPERLINK("https://azurlane.koumakan.jp/K%C3%B6ln","Koln")</f>
        <v>Koln</v>
      </c>
      <c r="D258" s="22" t="s">
        <v>40</v>
      </c>
      <c r="E258" s="22">
        <v>3450.0</v>
      </c>
      <c r="F258" s="22">
        <v>155.0</v>
      </c>
      <c r="G258" s="22">
        <v>276.0</v>
      </c>
      <c r="H258" s="22">
        <v>0.0</v>
      </c>
      <c r="I258" s="22">
        <v>341.0</v>
      </c>
      <c r="J258" s="22">
        <v>177.0</v>
      </c>
      <c r="K258" s="22">
        <v>126.0</v>
      </c>
      <c r="L258" s="22" t="s">
        <v>29</v>
      </c>
      <c r="M258" s="22">
        <v>32.0</v>
      </c>
      <c r="N258" s="22">
        <v>157.0</v>
      </c>
      <c r="O258" s="22">
        <v>62.0</v>
      </c>
      <c r="P258" s="22">
        <v>107.0</v>
      </c>
      <c r="Q258" s="22">
        <v>8.0</v>
      </c>
      <c r="R258" s="22">
        <v>0.0</v>
      </c>
      <c r="S258" s="22">
        <v>0.0</v>
      </c>
      <c r="T258" s="24" t="s">
        <v>193</v>
      </c>
      <c r="U258" s="25" t="s">
        <v>48</v>
      </c>
      <c r="V258" s="26" t="s">
        <v>54</v>
      </c>
      <c r="W258" s="27">
        <v>0.04861111111111111</v>
      </c>
      <c r="X258" s="54"/>
      <c r="Y258" s="29"/>
    </row>
    <row r="259" ht="15.75" customHeight="1">
      <c r="A259" s="30">
        <v>240.1</v>
      </c>
      <c r="B259" s="31" t="s">
        <v>52</v>
      </c>
      <c r="C259" s="32" t="str">
        <f>HYPERLINK("https://azurlane.koumakan.jp/K%C3%B6ln#Level_120_Retrofit_","Koln (R)")</f>
        <v>Koln (R)</v>
      </c>
      <c r="D259" s="33" t="s">
        <v>36</v>
      </c>
      <c r="E259" s="33">
        <v>3690.0</v>
      </c>
      <c r="F259" s="33">
        <v>175.0</v>
      </c>
      <c r="G259" s="33">
        <v>321.0</v>
      </c>
      <c r="H259" s="33">
        <v>0.0</v>
      </c>
      <c r="I259" s="33">
        <v>356.0</v>
      </c>
      <c r="J259" s="33">
        <v>182.0</v>
      </c>
      <c r="K259" s="33">
        <v>126.0</v>
      </c>
      <c r="L259" s="33" t="s">
        <v>29</v>
      </c>
      <c r="M259" s="33">
        <v>32.0</v>
      </c>
      <c r="N259" s="33">
        <v>157.0</v>
      </c>
      <c r="O259" s="33">
        <v>62.0</v>
      </c>
      <c r="P259" s="33">
        <v>107.0</v>
      </c>
      <c r="Q259" s="33">
        <v>8.0</v>
      </c>
      <c r="R259" s="33">
        <v>0.0</v>
      </c>
      <c r="S259" s="33">
        <v>0.0</v>
      </c>
      <c r="T259" s="35" t="s">
        <v>193</v>
      </c>
      <c r="U259" s="55" t="s">
        <v>42</v>
      </c>
      <c r="W259" s="56"/>
      <c r="X259" s="53"/>
      <c r="Y259" s="40"/>
    </row>
    <row r="260" ht="15.75" customHeight="1">
      <c r="A260" s="19">
        <v>241.0</v>
      </c>
      <c r="B260" s="20" t="s">
        <v>52</v>
      </c>
      <c r="C260" s="21" t="str">
        <f>HYPERLINK("https://azurlane.koumakan.jp/Leipzig","Leipzig")</f>
        <v>Leipzig</v>
      </c>
      <c r="D260" s="22" t="s">
        <v>36</v>
      </c>
      <c r="E260" s="22">
        <v>3576.0</v>
      </c>
      <c r="F260" s="22">
        <v>150.0</v>
      </c>
      <c r="G260" s="22">
        <v>274.0</v>
      </c>
      <c r="H260" s="22">
        <v>0.0</v>
      </c>
      <c r="I260" s="22">
        <v>354.0</v>
      </c>
      <c r="J260" s="22">
        <v>188.0</v>
      </c>
      <c r="K260" s="22">
        <v>121.0</v>
      </c>
      <c r="L260" s="22" t="s">
        <v>29</v>
      </c>
      <c r="M260" s="22">
        <v>32.0</v>
      </c>
      <c r="N260" s="22">
        <v>163.0</v>
      </c>
      <c r="O260" s="22">
        <v>67.0</v>
      </c>
      <c r="P260" s="22">
        <v>100.0</v>
      </c>
      <c r="Q260" s="22">
        <v>9.0</v>
      </c>
      <c r="R260" s="22">
        <v>0.0</v>
      </c>
      <c r="S260" s="22">
        <v>0.0</v>
      </c>
      <c r="T260" s="24" t="s">
        <v>193</v>
      </c>
      <c r="U260" s="58"/>
      <c r="V260" s="26" t="s">
        <v>54</v>
      </c>
      <c r="W260" s="27">
        <v>0.05555555555555555</v>
      </c>
      <c r="X260" s="28" t="s">
        <v>197</v>
      </c>
      <c r="Y260" s="29"/>
    </row>
    <row r="261" ht="15.75" customHeight="1">
      <c r="A261" s="30">
        <v>241.1</v>
      </c>
      <c r="B261" s="31" t="s">
        <v>52</v>
      </c>
      <c r="C261" s="32" t="str">
        <f>HYPERLINK("https://azurlane.koumakan.jp/Leipzig#Retrofit","Leipzig (R)")</f>
        <v>Leipzig (R)</v>
      </c>
      <c r="D261" s="33" t="s">
        <v>28</v>
      </c>
      <c r="E261" s="33">
        <v>3816.0</v>
      </c>
      <c r="F261" s="33">
        <v>170.0</v>
      </c>
      <c r="G261" s="33">
        <v>329.0</v>
      </c>
      <c r="H261" s="33">
        <v>0.0</v>
      </c>
      <c r="I261" s="33">
        <v>394.0</v>
      </c>
      <c r="J261" s="33">
        <v>193.0</v>
      </c>
      <c r="K261" s="33">
        <v>121.0</v>
      </c>
      <c r="L261" s="33" t="s">
        <v>29</v>
      </c>
      <c r="M261" s="33">
        <v>32.0</v>
      </c>
      <c r="N261" s="33">
        <v>163.0</v>
      </c>
      <c r="O261" s="33">
        <v>67.0</v>
      </c>
      <c r="P261" s="33">
        <v>100.0</v>
      </c>
      <c r="Q261" s="33">
        <v>9.0</v>
      </c>
      <c r="R261" s="33">
        <v>0.0</v>
      </c>
      <c r="S261" s="33">
        <v>0.0</v>
      </c>
      <c r="T261" s="35" t="s">
        <v>193</v>
      </c>
      <c r="U261" s="94" t="s">
        <v>42</v>
      </c>
      <c r="W261" s="56"/>
      <c r="X261" s="95"/>
      <c r="Y261" s="74"/>
    </row>
    <row r="262" ht="15.75" customHeight="1">
      <c r="A262" s="19">
        <v>242.0</v>
      </c>
      <c r="B262" s="20" t="s">
        <v>66</v>
      </c>
      <c r="C262" s="21" t="str">
        <f>HYPERLINK("https://azurlane.koumakan.jp/Admiral_Hipper","Admiral Hipper")</f>
        <v>Admiral Hipper</v>
      </c>
      <c r="D262" s="22" t="s">
        <v>28</v>
      </c>
      <c r="E262" s="22">
        <v>5083.0</v>
      </c>
      <c r="F262" s="22">
        <v>254.0</v>
      </c>
      <c r="G262" s="22">
        <v>193.0</v>
      </c>
      <c r="H262" s="22">
        <v>0.0</v>
      </c>
      <c r="I262" s="22">
        <v>193.0</v>
      </c>
      <c r="J262" s="22">
        <v>178.0</v>
      </c>
      <c r="K262" s="22">
        <v>64.0</v>
      </c>
      <c r="L262" s="22" t="s">
        <v>71</v>
      </c>
      <c r="M262" s="22">
        <v>25.0</v>
      </c>
      <c r="N262" s="22">
        <v>131.0</v>
      </c>
      <c r="O262" s="22">
        <v>66.0</v>
      </c>
      <c r="P262" s="22">
        <v>0.0</v>
      </c>
      <c r="Q262" s="22">
        <v>11.0</v>
      </c>
      <c r="R262" s="22">
        <v>0.0</v>
      </c>
      <c r="S262" s="22">
        <v>0.0</v>
      </c>
      <c r="T262" s="24" t="s">
        <v>193</v>
      </c>
      <c r="U262" s="58"/>
      <c r="V262" s="26" t="s">
        <v>83</v>
      </c>
      <c r="W262" s="27">
        <v>0.08333333333333333</v>
      </c>
      <c r="X262" s="28" t="s">
        <v>198</v>
      </c>
      <c r="Y262" s="29"/>
    </row>
    <row r="263" ht="15.75" customHeight="1">
      <c r="A263" s="30">
        <v>244.0</v>
      </c>
      <c r="B263" s="31" t="s">
        <v>66</v>
      </c>
      <c r="C263" s="32" t="str">
        <f>HYPERLINK("https://azurlane.koumakan.jp/Prinz_Eugen","Prinz Eugen")</f>
        <v>Prinz Eugen</v>
      </c>
      <c r="D263" s="33" t="s">
        <v>32</v>
      </c>
      <c r="E263" s="33">
        <v>6394.0</v>
      </c>
      <c r="F263" s="33">
        <v>230.0</v>
      </c>
      <c r="G263" s="33">
        <v>155.0</v>
      </c>
      <c r="H263" s="33">
        <v>0.0</v>
      </c>
      <c r="I263" s="33">
        <v>209.0</v>
      </c>
      <c r="J263" s="33">
        <v>185.0</v>
      </c>
      <c r="K263" s="33">
        <v>64.0</v>
      </c>
      <c r="L263" s="33" t="s">
        <v>71</v>
      </c>
      <c r="M263" s="33">
        <v>25.0</v>
      </c>
      <c r="N263" s="33">
        <v>131.0</v>
      </c>
      <c r="O263" s="33">
        <v>78.0</v>
      </c>
      <c r="P263" s="33">
        <v>0.0</v>
      </c>
      <c r="Q263" s="33">
        <v>12.0</v>
      </c>
      <c r="R263" s="33">
        <v>0.0</v>
      </c>
      <c r="S263" s="33">
        <v>0.0</v>
      </c>
      <c r="T263" s="35" t="s">
        <v>193</v>
      </c>
      <c r="U263" s="57"/>
      <c r="V263" s="37" t="s">
        <v>68</v>
      </c>
      <c r="W263" s="38">
        <v>0.08333333333333333</v>
      </c>
      <c r="X263" s="39" t="s">
        <v>199</v>
      </c>
      <c r="Y263" s="40"/>
    </row>
    <row r="264" ht="15.75" customHeight="1">
      <c r="A264" s="19">
        <v>245.0</v>
      </c>
      <c r="B264" s="20" t="s">
        <v>66</v>
      </c>
      <c r="C264" s="21" t="str">
        <f>HYPERLINK("https://azurlane.koumakan.jp/Deutschland","Deutchland")</f>
        <v>Deutchland</v>
      </c>
      <c r="D264" s="22" t="s">
        <v>28</v>
      </c>
      <c r="E264" s="22">
        <v>4111.0</v>
      </c>
      <c r="F264" s="22">
        <v>305.0</v>
      </c>
      <c r="G264" s="22">
        <v>223.0</v>
      </c>
      <c r="H264" s="22">
        <v>0.0</v>
      </c>
      <c r="I264" s="22">
        <v>157.0</v>
      </c>
      <c r="J264" s="22">
        <v>178.0</v>
      </c>
      <c r="K264" s="22">
        <v>55.0</v>
      </c>
      <c r="L264" s="22" t="s">
        <v>71</v>
      </c>
      <c r="M264" s="22">
        <v>22.0</v>
      </c>
      <c r="N264" s="22">
        <v>135.0</v>
      </c>
      <c r="O264" s="22">
        <v>72.0</v>
      </c>
      <c r="P264" s="22">
        <v>0.0</v>
      </c>
      <c r="Q264" s="22">
        <v>11.0</v>
      </c>
      <c r="R264" s="22">
        <v>0.0</v>
      </c>
      <c r="S264" s="22">
        <v>0.0</v>
      </c>
      <c r="T264" s="24" t="s">
        <v>193</v>
      </c>
      <c r="U264" s="58"/>
      <c r="V264" s="26" t="s">
        <v>83</v>
      </c>
      <c r="W264" s="27">
        <v>0.0798611111111111</v>
      </c>
      <c r="X264" s="28" t="s">
        <v>200</v>
      </c>
      <c r="Y264" s="29"/>
    </row>
    <row r="265" ht="15.75" customHeight="1">
      <c r="A265" s="30">
        <v>246.0</v>
      </c>
      <c r="B265" s="31" t="s">
        <v>66</v>
      </c>
      <c r="C265" s="32" t="str">
        <f>HYPERLINK("https://azurlane.koumakan.jp/Admiral_Graf.Spee","Adm. Graf Spee")</f>
        <v>Adm. Graf Spee</v>
      </c>
      <c r="D265" s="33" t="s">
        <v>28</v>
      </c>
      <c r="E265" s="33">
        <v>4462.0</v>
      </c>
      <c r="F265" s="33">
        <v>301.0</v>
      </c>
      <c r="G265" s="33">
        <v>219.0</v>
      </c>
      <c r="H265" s="33">
        <v>0.0</v>
      </c>
      <c r="I265" s="33">
        <v>157.0</v>
      </c>
      <c r="J265" s="33">
        <v>177.0</v>
      </c>
      <c r="K265" s="33">
        <v>56.0</v>
      </c>
      <c r="L265" s="33" t="s">
        <v>71</v>
      </c>
      <c r="M265" s="33">
        <v>22.0</v>
      </c>
      <c r="N265" s="33">
        <v>129.0</v>
      </c>
      <c r="O265" s="33">
        <v>36.0</v>
      </c>
      <c r="P265" s="33">
        <v>0.0</v>
      </c>
      <c r="Q265" s="33">
        <v>11.0</v>
      </c>
      <c r="R265" s="33">
        <v>0.0</v>
      </c>
      <c r="S265" s="33">
        <v>0.0</v>
      </c>
      <c r="T265" s="35" t="s">
        <v>193</v>
      </c>
      <c r="U265" s="57"/>
      <c r="V265" s="37" t="s">
        <v>68</v>
      </c>
      <c r="W265" s="38">
        <v>0.0798611111111111</v>
      </c>
      <c r="X265" s="39" t="s">
        <v>201</v>
      </c>
      <c r="Y265" s="40"/>
    </row>
    <row r="266" ht="15.75" customHeight="1">
      <c r="A266" s="19">
        <v>248.0</v>
      </c>
      <c r="B266" s="20" t="s">
        <v>126</v>
      </c>
      <c r="C266" s="21" t="str">
        <f>HYPERLINK("https://azurlane.koumakan.jp/Scharnhorst","Scharnhorst")</f>
        <v>Scharnhorst</v>
      </c>
      <c r="D266" s="22" t="s">
        <v>28</v>
      </c>
      <c r="E266" s="22">
        <v>7632.0</v>
      </c>
      <c r="F266" s="22">
        <v>371.0</v>
      </c>
      <c r="G266" s="22">
        <v>156.0</v>
      </c>
      <c r="H266" s="22">
        <v>0.0</v>
      </c>
      <c r="I266" s="22">
        <v>253.0</v>
      </c>
      <c r="J266" s="22">
        <v>160.0</v>
      </c>
      <c r="K266" s="22">
        <v>40.0</v>
      </c>
      <c r="L266" s="22" t="s">
        <v>71</v>
      </c>
      <c r="M266" s="22">
        <v>31.0</v>
      </c>
      <c r="N266" s="22">
        <v>68.0</v>
      </c>
      <c r="O266" s="22">
        <v>43.0</v>
      </c>
      <c r="P266" s="22">
        <v>0.0</v>
      </c>
      <c r="Q266" s="22">
        <v>13.0</v>
      </c>
      <c r="R266" s="22">
        <v>0.0</v>
      </c>
      <c r="S266" s="22">
        <v>0.0</v>
      </c>
      <c r="T266" s="24" t="s">
        <v>193</v>
      </c>
      <c r="U266" s="58"/>
      <c r="V266" s="26" t="s">
        <v>76</v>
      </c>
      <c r="W266" s="98"/>
      <c r="X266" s="28" t="s">
        <v>202</v>
      </c>
      <c r="Y266" s="29"/>
    </row>
    <row r="267" ht="15.75" customHeight="1">
      <c r="A267" s="30">
        <v>249.0</v>
      </c>
      <c r="B267" s="31" t="s">
        <v>126</v>
      </c>
      <c r="C267" s="32" t="str">
        <f>HYPERLINK("https://azurlane.koumakan.jp/Gneisenau","Gneisenau")</f>
        <v>Gneisenau</v>
      </c>
      <c r="D267" s="33" t="s">
        <v>28</v>
      </c>
      <c r="E267" s="33">
        <v>7632.0</v>
      </c>
      <c r="F267" s="33">
        <v>371.0</v>
      </c>
      <c r="G267" s="33">
        <v>156.0</v>
      </c>
      <c r="H267" s="33">
        <v>0.0</v>
      </c>
      <c r="I267" s="33">
        <v>253.0</v>
      </c>
      <c r="J267" s="33">
        <v>160.0</v>
      </c>
      <c r="K267" s="33">
        <v>40.0</v>
      </c>
      <c r="L267" s="33" t="s">
        <v>71</v>
      </c>
      <c r="M267" s="33">
        <v>31.0</v>
      </c>
      <c r="N267" s="33">
        <v>68.0</v>
      </c>
      <c r="O267" s="33">
        <v>64.0</v>
      </c>
      <c r="P267" s="33">
        <v>0.0</v>
      </c>
      <c r="Q267" s="33">
        <v>13.0</v>
      </c>
      <c r="R267" s="33">
        <v>0.0</v>
      </c>
      <c r="S267" s="33">
        <v>0.0</v>
      </c>
      <c r="T267" s="35" t="s">
        <v>193</v>
      </c>
      <c r="U267" s="57"/>
      <c r="V267" s="37" t="s">
        <v>76</v>
      </c>
      <c r="W267" s="52"/>
      <c r="X267" s="39" t="s">
        <v>203</v>
      </c>
      <c r="Y267" s="40"/>
    </row>
    <row r="268" ht="15.75" customHeight="1">
      <c r="A268" s="19">
        <v>250.0</v>
      </c>
      <c r="B268" s="20" t="s">
        <v>82</v>
      </c>
      <c r="C268" s="21" t="str">
        <f>HYPERLINK("https://azurlane.koumakan.jp/Bismarck","Bismarck")</f>
        <v>Bismarck</v>
      </c>
      <c r="D268" s="22" t="s">
        <v>32</v>
      </c>
      <c r="E268" s="22">
        <v>8970.0</v>
      </c>
      <c r="F268" s="22">
        <v>428.0</v>
      </c>
      <c r="G268" s="22">
        <v>0.0</v>
      </c>
      <c r="H268" s="22">
        <v>0.0</v>
      </c>
      <c r="I268" s="22">
        <v>212.0</v>
      </c>
      <c r="J268" s="22">
        <v>155.0</v>
      </c>
      <c r="K268" s="22">
        <v>34.0</v>
      </c>
      <c r="L268" s="22" t="s">
        <v>83</v>
      </c>
      <c r="M268" s="22">
        <v>30.0</v>
      </c>
      <c r="N268" s="22">
        <v>75.0</v>
      </c>
      <c r="O268" s="22">
        <v>32.0</v>
      </c>
      <c r="P268" s="22">
        <v>0.0</v>
      </c>
      <c r="Q268" s="22">
        <v>15.0</v>
      </c>
      <c r="R268" s="22">
        <v>0.0</v>
      </c>
      <c r="S268" s="22">
        <v>0.0</v>
      </c>
      <c r="T268" s="24" t="s">
        <v>193</v>
      </c>
      <c r="U268" s="58"/>
      <c r="V268" s="26" t="s">
        <v>76</v>
      </c>
      <c r="W268" s="76">
        <v>0.25</v>
      </c>
      <c r="X268" s="28" t="s">
        <v>204</v>
      </c>
      <c r="Y268" s="29"/>
    </row>
    <row r="269" ht="15.75" customHeight="1">
      <c r="A269" s="30">
        <v>251.0</v>
      </c>
      <c r="B269" s="31" t="s">
        <v>82</v>
      </c>
      <c r="C269" s="32" t="str">
        <f>HYPERLINK("https://azurlane.koumakan.jp/Tirpitz","Tirpitz")</f>
        <v>Tirpitz</v>
      </c>
      <c r="D269" s="33" t="s">
        <v>32</v>
      </c>
      <c r="E269" s="33">
        <v>8592.0</v>
      </c>
      <c r="F269" s="33">
        <v>428.0</v>
      </c>
      <c r="G269" s="33">
        <v>220.0</v>
      </c>
      <c r="H269" s="33">
        <v>0.0</v>
      </c>
      <c r="I269" s="33">
        <v>212.0</v>
      </c>
      <c r="J269" s="33">
        <v>152.0</v>
      </c>
      <c r="K269" s="33">
        <v>34.0</v>
      </c>
      <c r="L269" s="33" t="s">
        <v>83</v>
      </c>
      <c r="M269" s="33">
        <v>30.0</v>
      </c>
      <c r="N269" s="33">
        <v>69.0</v>
      </c>
      <c r="O269" s="33">
        <v>45.0</v>
      </c>
      <c r="P269" s="33">
        <v>0.0</v>
      </c>
      <c r="Q269" s="33">
        <v>15.0</v>
      </c>
      <c r="R269" s="33">
        <v>0.0</v>
      </c>
      <c r="S269" s="33">
        <v>0.0</v>
      </c>
      <c r="T269" s="35" t="s">
        <v>193</v>
      </c>
      <c r="U269" s="57"/>
      <c r="V269" s="37" t="s">
        <v>83</v>
      </c>
      <c r="W269" s="38">
        <v>0.25</v>
      </c>
      <c r="X269" s="39" t="s">
        <v>205</v>
      </c>
      <c r="Y269" s="40"/>
    </row>
    <row r="270" ht="15.75" customHeight="1">
      <c r="A270" s="19">
        <v>252.0</v>
      </c>
      <c r="B270" s="20" t="s">
        <v>95</v>
      </c>
      <c r="C270" s="21" t="str">
        <f>HYPERLINK("https://azurlane.koumakan.jp/Graf_Zeppelin","Graf Zeppelin")</f>
        <v>Graf Zeppelin</v>
      </c>
      <c r="D270" s="22" t="s">
        <v>32</v>
      </c>
      <c r="E270" s="22">
        <v>7659.0</v>
      </c>
      <c r="F270" s="22">
        <v>0.0</v>
      </c>
      <c r="G270" s="22">
        <v>0.0</v>
      </c>
      <c r="H270" s="22">
        <v>428.0</v>
      </c>
      <c r="I270" s="22">
        <v>326.0</v>
      </c>
      <c r="J270" s="22">
        <v>129.0</v>
      </c>
      <c r="K270" s="22">
        <v>52.0</v>
      </c>
      <c r="L270" s="22" t="s">
        <v>71</v>
      </c>
      <c r="M270" s="22">
        <v>33.0</v>
      </c>
      <c r="N270" s="22">
        <v>90.0</v>
      </c>
      <c r="O270" s="22">
        <v>45.0</v>
      </c>
      <c r="P270" s="22">
        <v>0.0</v>
      </c>
      <c r="Q270" s="22">
        <v>13.0</v>
      </c>
      <c r="R270" s="22">
        <v>0.0</v>
      </c>
      <c r="S270" s="22">
        <v>0.0</v>
      </c>
      <c r="T270" s="24" t="s">
        <v>193</v>
      </c>
      <c r="U270" s="58"/>
      <c r="V270" s="26" t="s">
        <v>76</v>
      </c>
      <c r="W270" s="76">
        <v>0.1909722222222222</v>
      </c>
      <c r="X270" s="28" t="s">
        <v>196</v>
      </c>
      <c r="Y270" s="29"/>
    </row>
    <row r="271" ht="15.75" customHeight="1">
      <c r="A271" s="30">
        <v>253.0</v>
      </c>
      <c r="B271" s="31" t="s">
        <v>27</v>
      </c>
      <c r="C271" s="32" t="str">
        <f>HYPERLINK("https://azurlane.koumakan.jp/An_Shan","An Shan")</f>
        <v>An Shan</v>
      </c>
      <c r="D271" s="33" t="s">
        <v>28</v>
      </c>
      <c r="E271" s="33">
        <v>2332.0</v>
      </c>
      <c r="F271" s="33">
        <v>132.0</v>
      </c>
      <c r="G271" s="33">
        <v>231.0</v>
      </c>
      <c r="H271" s="33">
        <v>0.0</v>
      </c>
      <c r="I271" s="33">
        <v>175.0</v>
      </c>
      <c r="J271" s="33">
        <v>204.0</v>
      </c>
      <c r="K271" s="33">
        <v>213.0</v>
      </c>
      <c r="L271" s="33" t="s">
        <v>29</v>
      </c>
      <c r="M271" s="33">
        <v>45.0</v>
      </c>
      <c r="N271" s="33">
        <v>212.0</v>
      </c>
      <c r="O271" s="33">
        <v>81.0</v>
      </c>
      <c r="P271" s="33">
        <v>203.0</v>
      </c>
      <c r="Q271" s="33">
        <v>9.0</v>
      </c>
      <c r="R271" s="33">
        <v>0.0</v>
      </c>
      <c r="S271" s="33">
        <v>0.0</v>
      </c>
      <c r="T271" s="35" t="s">
        <v>206</v>
      </c>
      <c r="U271" s="57"/>
      <c r="V271" s="37" t="s">
        <v>76</v>
      </c>
      <c r="W271" s="102"/>
      <c r="X271" s="39" t="s">
        <v>207</v>
      </c>
      <c r="Y271" s="40"/>
    </row>
    <row r="272" ht="15.75" customHeight="1">
      <c r="A272" s="19">
        <v>254.0</v>
      </c>
      <c r="B272" s="20" t="s">
        <v>27</v>
      </c>
      <c r="C272" s="21" t="str">
        <f>HYPERLINK("https://azurlane.koumakan.jp/Fu_Shun","Fu Shun")</f>
        <v>Fu Shun</v>
      </c>
      <c r="D272" s="22" t="s">
        <v>28</v>
      </c>
      <c r="E272" s="22">
        <v>2332.0</v>
      </c>
      <c r="F272" s="22">
        <v>130.0</v>
      </c>
      <c r="G272" s="22">
        <v>234.0</v>
      </c>
      <c r="H272" s="22">
        <v>0.0</v>
      </c>
      <c r="I272" s="22">
        <v>177.0</v>
      </c>
      <c r="J272" s="22">
        <v>204.0</v>
      </c>
      <c r="K272" s="22">
        <v>213.0</v>
      </c>
      <c r="L272" s="22" t="s">
        <v>29</v>
      </c>
      <c r="M272" s="22">
        <v>45.0</v>
      </c>
      <c r="N272" s="22">
        <v>209.0</v>
      </c>
      <c r="O272" s="22">
        <v>51.0</v>
      </c>
      <c r="P272" s="22">
        <v>203.0</v>
      </c>
      <c r="Q272" s="22">
        <v>9.0</v>
      </c>
      <c r="R272" s="22">
        <v>0.0</v>
      </c>
      <c r="S272" s="22">
        <v>0.0</v>
      </c>
      <c r="T272" s="24" t="s">
        <v>206</v>
      </c>
      <c r="U272" s="58"/>
      <c r="V272" s="26" t="s">
        <v>76</v>
      </c>
      <c r="W272" s="98"/>
      <c r="X272" s="28" t="s">
        <v>207</v>
      </c>
      <c r="Y272" s="29"/>
    </row>
    <row r="273" ht="15.75" customHeight="1">
      <c r="A273" s="30">
        <v>255.0</v>
      </c>
      <c r="B273" s="31" t="s">
        <v>27</v>
      </c>
      <c r="C273" s="32" t="str">
        <f>HYPERLINK("https://azurlane.koumakan.jp/Chang_Chun","Chang Chun")</f>
        <v>Chang Chun</v>
      </c>
      <c r="D273" s="33" t="s">
        <v>28</v>
      </c>
      <c r="E273" s="33">
        <v>2332.0</v>
      </c>
      <c r="F273" s="33">
        <v>132.0</v>
      </c>
      <c r="G273" s="33">
        <v>231.0</v>
      </c>
      <c r="H273" s="33">
        <v>0.0</v>
      </c>
      <c r="I273" s="33">
        <v>175.0</v>
      </c>
      <c r="J273" s="33">
        <v>202.0</v>
      </c>
      <c r="K273" s="33">
        <v>213.0</v>
      </c>
      <c r="L273" s="33" t="s">
        <v>29</v>
      </c>
      <c r="M273" s="33">
        <v>45.0</v>
      </c>
      <c r="N273" s="33">
        <v>207.0</v>
      </c>
      <c r="O273" s="33">
        <v>61.0</v>
      </c>
      <c r="P273" s="33">
        <v>203.0</v>
      </c>
      <c r="Q273" s="33">
        <v>9.0</v>
      </c>
      <c r="R273" s="33">
        <v>0.0</v>
      </c>
      <c r="S273" s="33">
        <v>0.0</v>
      </c>
      <c r="T273" s="35" t="s">
        <v>206</v>
      </c>
      <c r="U273" s="57"/>
      <c r="V273" s="61" t="s">
        <v>76</v>
      </c>
      <c r="W273" s="62">
        <v>0.022222222222222223</v>
      </c>
      <c r="X273" s="39" t="s">
        <v>208</v>
      </c>
      <c r="Y273" s="40"/>
    </row>
    <row r="274" ht="15.75" customHeight="1">
      <c r="A274" s="19">
        <v>256.0</v>
      </c>
      <c r="B274" s="20" t="s">
        <v>27</v>
      </c>
      <c r="C274" s="21" t="str">
        <f>HYPERLINK("https://azurlane.koumakan.jp/Tai_Yuan","Tai Yuan")</f>
        <v>Tai Yuan</v>
      </c>
      <c r="D274" s="22" t="s">
        <v>28</v>
      </c>
      <c r="E274" s="22">
        <v>2332.0</v>
      </c>
      <c r="F274" s="22">
        <v>130.0</v>
      </c>
      <c r="G274" s="22">
        <v>232.0</v>
      </c>
      <c r="H274" s="22">
        <v>0.0</v>
      </c>
      <c r="I274" s="22">
        <v>177.0</v>
      </c>
      <c r="J274" s="22">
        <v>202.0</v>
      </c>
      <c r="K274" s="22">
        <v>213.0</v>
      </c>
      <c r="L274" s="22" t="s">
        <v>29</v>
      </c>
      <c r="M274" s="22">
        <v>45.0</v>
      </c>
      <c r="N274" s="22">
        <v>210.0</v>
      </c>
      <c r="O274" s="22">
        <v>71.0</v>
      </c>
      <c r="P274" s="22">
        <v>203.0</v>
      </c>
      <c r="Q274" s="22">
        <v>9.0</v>
      </c>
      <c r="R274" s="22">
        <v>0.0</v>
      </c>
      <c r="S274" s="22">
        <v>0.0</v>
      </c>
      <c r="T274" s="24" t="s">
        <v>206</v>
      </c>
      <c r="U274" s="58"/>
      <c r="V274" s="26" t="s">
        <v>76</v>
      </c>
      <c r="W274" s="27">
        <v>0.022222222222222223</v>
      </c>
      <c r="X274" s="28" t="s">
        <v>208</v>
      </c>
      <c r="Y274" s="29"/>
    </row>
    <row r="275" ht="15.75" customHeight="1">
      <c r="A275" s="30">
        <v>257.0</v>
      </c>
      <c r="B275" s="31" t="s">
        <v>52</v>
      </c>
      <c r="C275" s="32" t="str">
        <f>HYPERLINK("https://azurlane.koumakan.jp/Yat_Sen","Yat Sen")</f>
        <v>Yat Sen</v>
      </c>
      <c r="D275" s="33" t="s">
        <v>28</v>
      </c>
      <c r="E275" s="33">
        <v>1928.0</v>
      </c>
      <c r="F275" s="33">
        <v>122.0</v>
      </c>
      <c r="G275" s="33">
        <v>0.0</v>
      </c>
      <c r="H275" s="33">
        <v>0.0</v>
      </c>
      <c r="I275" s="33">
        <v>354.0</v>
      </c>
      <c r="J275" s="33">
        <v>185.0</v>
      </c>
      <c r="K275" s="33">
        <v>93.0</v>
      </c>
      <c r="L275" s="33" t="s">
        <v>29</v>
      </c>
      <c r="M275" s="33">
        <v>19.0</v>
      </c>
      <c r="N275" s="33">
        <v>150.0</v>
      </c>
      <c r="O275" s="33">
        <v>64.0</v>
      </c>
      <c r="P275" s="33">
        <v>56.0</v>
      </c>
      <c r="Q275" s="33">
        <v>10.0</v>
      </c>
      <c r="R275" s="33">
        <v>0.0</v>
      </c>
      <c r="S275" s="33">
        <v>0.0</v>
      </c>
      <c r="T275" s="35" t="s">
        <v>206</v>
      </c>
      <c r="U275" s="57"/>
      <c r="V275" s="61" t="s">
        <v>29</v>
      </c>
      <c r="W275" s="62">
        <v>0.027777777777777776</v>
      </c>
      <c r="X275" s="39" t="s">
        <v>209</v>
      </c>
      <c r="Y275" s="40"/>
    </row>
    <row r="276" ht="15.75" customHeight="1">
      <c r="A276" s="19">
        <v>258.0</v>
      </c>
      <c r="B276" s="20" t="s">
        <v>52</v>
      </c>
      <c r="C276" s="21" t="str">
        <f>HYPERLINK("https://azurlane.koumakan.jp/Ning_Hai","Ning Hai")</f>
        <v>Ning Hai</v>
      </c>
      <c r="D276" s="22" t="s">
        <v>28</v>
      </c>
      <c r="E276" s="22">
        <v>2028.0</v>
      </c>
      <c r="F276" s="22">
        <v>148.0</v>
      </c>
      <c r="G276" s="22">
        <v>237.0</v>
      </c>
      <c r="H276" s="22">
        <v>0.0</v>
      </c>
      <c r="I276" s="22">
        <v>295.0</v>
      </c>
      <c r="J276" s="22">
        <v>185.0</v>
      </c>
      <c r="K276" s="22">
        <v>88.0</v>
      </c>
      <c r="L276" s="22" t="s">
        <v>29</v>
      </c>
      <c r="M276" s="22">
        <v>23.0</v>
      </c>
      <c r="N276" s="22">
        <v>156.0</v>
      </c>
      <c r="O276" s="22">
        <v>51.0</v>
      </c>
      <c r="P276" s="22">
        <v>77.0</v>
      </c>
      <c r="Q276" s="22">
        <v>10.0</v>
      </c>
      <c r="R276" s="22">
        <v>0.0</v>
      </c>
      <c r="S276" s="22">
        <v>0.0</v>
      </c>
      <c r="T276" s="24" t="s">
        <v>206</v>
      </c>
      <c r="U276" s="58"/>
      <c r="V276" s="26" t="s">
        <v>29</v>
      </c>
      <c r="W276" s="27">
        <v>0.029166666666666667</v>
      </c>
      <c r="X276" s="28" t="s">
        <v>210</v>
      </c>
      <c r="Y276" s="29"/>
    </row>
    <row r="277" ht="15.75" customHeight="1">
      <c r="A277" s="30">
        <v>258.1</v>
      </c>
      <c r="B277" s="31" t="s">
        <v>52</v>
      </c>
      <c r="C277" s="32" t="str">
        <f>HYPERLINK("https://azurlane.koumakan.jp/Ning_Hai#Retrofit","Ning Hai (R)")</f>
        <v>Ning Hai (R)</v>
      </c>
      <c r="D277" s="33" t="s">
        <v>32</v>
      </c>
      <c r="E277" s="33">
        <v>2238.0</v>
      </c>
      <c r="F277" s="33">
        <v>203.0</v>
      </c>
      <c r="G277" s="33">
        <v>237.0</v>
      </c>
      <c r="H277" s="33">
        <v>0.0</v>
      </c>
      <c r="I277" s="33">
        <v>310.0</v>
      </c>
      <c r="J277" s="33">
        <v>190.0</v>
      </c>
      <c r="K277" s="33">
        <v>123.0</v>
      </c>
      <c r="L277" s="33" t="s">
        <v>29</v>
      </c>
      <c r="M277" s="33">
        <v>23.0</v>
      </c>
      <c r="N277" s="33">
        <v>156.0</v>
      </c>
      <c r="O277" s="34">
        <v>51.0</v>
      </c>
      <c r="P277" s="33">
        <v>77.0</v>
      </c>
      <c r="Q277" s="33">
        <v>10.0</v>
      </c>
      <c r="R277" s="33">
        <v>0.0</v>
      </c>
      <c r="S277" s="33">
        <v>0.0</v>
      </c>
      <c r="T277" s="35" t="s">
        <v>206</v>
      </c>
      <c r="U277" s="55" t="s">
        <v>42</v>
      </c>
      <c r="W277" s="56"/>
      <c r="X277" s="53"/>
      <c r="Y277" s="40"/>
    </row>
    <row r="278" ht="15.75" customHeight="1">
      <c r="A278" s="19">
        <v>259.0</v>
      </c>
      <c r="B278" s="20" t="s">
        <v>52</v>
      </c>
      <c r="C278" s="21" t="str">
        <f>HYPERLINK("https://azurlane.koumakan.jp/Ping_Hai","Ping Hai")</f>
        <v>Ping Hai</v>
      </c>
      <c r="D278" s="22" t="s">
        <v>28</v>
      </c>
      <c r="E278" s="22">
        <v>1995.0</v>
      </c>
      <c r="F278" s="22">
        <v>148.0</v>
      </c>
      <c r="G278" s="22">
        <v>237.0</v>
      </c>
      <c r="H278" s="22">
        <v>0.0</v>
      </c>
      <c r="I278" s="22">
        <v>263.0</v>
      </c>
      <c r="J278" s="22">
        <v>185.0</v>
      </c>
      <c r="K278" s="22">
        <v>85.0</v>
      </c>
      <c r="L278" s="22" t="s">
        <v>29</v>
      </c>
      <c r="M278" s="22">
        <v>21.0</v>
      </c>
      <c r="N278" s="22">
        <v>159.0</v>
      </c>
      <c r="O278" s="22">
        <v>47.0</v>
      </c>
      <c r="P278" s="22">
        <v>77.0</v>
      </c>
      <c r="Q278" s="22">
        <v>10.0</v>
      </c>
      <c r="R278" s="22">
        <v>0.0</v>
      </c>
      <c r="S278" s="22">
        <v>0.0</v>
      </c>
      <c r="T278" s="24" t="s">
        <v>206</v>
      </c>
      <c r="U278" s="58"/>
      <c r="V278" s="75" t="s">
        <v>29</v>
      </c>
      <c r="W278" s="76">
        <v>0.029166666666666667</v>
      </c>
      <c r="X278" s="28" t="s">
        <v>211</v>
      </c>
      <c r="Y278" s="29"/>
    </row>
    <row r="279" ht="15.75" customHeight="1">
      <c r="A279" s="30">
        <v>259.1</v>
      </c>
      <c r="B279" s="31" t="s">
        <v>52</v>
      </c>
      <c r="C279" s="32" t="str">
        <f>HYPERLINK("https://azurlane.koumakan.jp/Ping_Hai#Retrofit","Ping Hai (R)")</f>
        <v>Ping Hai (R)</v>
      </c>
      <c r="D279" s="33" t="s">
        <v>32</v>
      </c>
      <c r="E279" s="33">
        <v>2205.0</v>
      </c>
      <c r="F279" s="33">
        <v>203.0</v>
      </c>
      <c r="G279" s="33">
        <v>237.0</v>
      </c>
      <c r="H279" s="33">
        <v>0.0</v>
      </c>
      <c r="I279" s="33">
        <v>278.0</v>
      </c>
      <c r="J279" s="33">
        <v>190.0</v>
      </c>
      <c r="K279" s="33">
        <v>120.0</v>
      </c>
      <c r="L279" s="33" t="s">
        <v>29</v>
      </c>
      <c r="M279" s="33">
        <v>21.0</v>
      </c>
      <c r="N279" s="33">
        <v>159.0</v>
      </c>
      <c r="O279" s="34">
        <v>47.0</v>
      </c>
      <c r="P279" s="33">
        <v>77.0</v>
      </c>
      <c r="Q279" s="33">
        <v>10.0</v>
      </c>
      <c r="R279" s="33">
        <v>0.0</v>
      </c>
      <c r="S279" s="33">
        <v>0.0</v>
      </c>
      <c r="T279" s="35" t="s">
        <v>206</v>
      </c>
      <c r="U279" s="55" t="s">
        <v>42</v>
      </c>
      <c r="W279" s="56"/>
      <c r="X279" s="53"/>
      <c r="Y279" s="40"/>
    </row>
    <row r="280" ht="15.75" customHeight="1">
      <c r="A280" s="19">
        <v>262.0</v>
      </c>
      <c r="B280" s="20" t="s">
        <v>52</v>
      </c>
      <c r="C280" s="21" t="str">
        <f>HYPERLINK("https://azurlane.koumakan.jp/Avrora","Avrora")</f>
        <v>Avrora</v>
      </c>
      <c r="D280" s="22" t="s">
        <v>32</v>
      </c>
      <c r="E280" s="22">
        <v>3450.0</v>
      </c>
      <c r="F280" s="22">
        <v>106.0</v>
      </c>
      <c r="G280" s="22">
        <v>226.0</v>
      </c>
      <c r="H280" s="22">
        <v>0.0</v>
      </c>
      <c r="I280" s="22">
        <v>163.0</v>
      </c>
      <c r="J280" s="22">
        <v>152.0</v>
      </c>
      <c r="K280" s="22">
        <v>93.0</v>
      </c>
      <c r="L280" s="22" t="s">
        <v>71</v>
      </c>
      <c r="M280" s="22">
        <v>19.0</v>
      </c>
      <c r="N280" s="22">
        <v>134.0</v>
      </c>
      <c r="O280" s="22">
        <v>55.0</v>
      </c>
      <c r="P280" s="22">
        <v>58.0</v>
      </c>
      <c r="Q280" s="22">
        <v>11.0</v>
      </c>
      <c r="R280" s="22">
        <v>0.0</v>
      </c>
      <c r="S280" s="22">
        <v>0.0</v>
      </c>
      <c r="T280" s="24" t="s">
        <v>212</v>
      </c>
      <c r="U280" s="58"/>
      <c r="V280" s="75" t="s">
        <v>76</v>
      </c>
      <c r="W280" s="98"/>
      <c r="X280" s="28" t="s">
        <v>213</v>
      </c>
      <c r="Y280" s="29"/>
    </row>
    <row r="281" ht="15.75" customHeight="1">
      <c r="A281" s="30">
        <v>263.0</v>
      </c>
      <c r="B281" s="31" t="s">
        <v>27</v>
      </c>
      <c r="C281" s="32" t="str">
        <f>HYPERLINK("https://azurlane.koumakan.jp/Bailey","Bailey")</f>
        <v>Bailey</v>
      </c>
      <c r="D281" s="33" t="s">
        <v>36</v>
      </c>
      <c r="E281" s="33">
        <v>1870.0</v>
      </c>
      <c r="F281" s="33">
        <v>89.0</v>
      </c>
      <c r="G281" s="33">
        <v>324.0</v>
      </c>
      <c r="H281" s="33">
        <v>0.0</v>
      </c>
      <c r="I281" s="33">
        <v>175.0</v>
      </c>
      <c r="J281" s="33">
        <v>207.0</v>
      </c>
      <c r="K281" s="33">
        <v>210.0</v>
      </c>
      <c r="L281" s="33" t="s">
        <v>29</v>
      </c>
      <c r="M281" s="33">
        <v>44.0</v>
      </c>
      <c r="N281" s="33">
        <v>207.0</v>
      </c>
      <c r="O281" s="33">
        <v>70.0</v>
      </c>
      <c r="P281" s="33">
        <v>195.0</v>
      </c>
      <c r="Q281" s="33">
        <v>8.0</v>
      </c>
      <c r="R281" s="33">
        <v>0.0</v>
      </c>
      <c r="S281" s="33">
        <v>0.0</v>
      </c>
      <c r="T281" s="35" t="s">
        <v>37</v>
      </c>
      <c r="U281" s="57"/>
      <c r="V281" s="37" t="s">
        <v>29</v>
      </c>
      <c r="W281" s="62">
        <v>0.01875</v>
      </c>
      <c r="X281" s="53"/>
      <c r="Y281" s="40"/>
    </row>
    <row r="282" ht="15.75" customHeight="1">
      <c r="A282" s="19">
        <v>263.1</v>
      </c>
      <c r="B282" s="20" t="s">
        <v>27</v>
      </c>
      <c r="C282" s="21" t="str">
        <f>HYPERLINK("https://azurlane.koumakan.jp/Bailey#Retrofit","Bailey (R)")</f>
        <v>Bailey (R)</v>
      </c>
      <c r="D282" s="22" t="s">
        <v>28</v>
      </c>
      <c r="E282" s="22">
        <v>2080.0</v>
      </c>
      <c r="F282" s="22">
        <v>104.0</v>
      </c>
      <c r="G282" s="22">
        <v>324.0</v>
      </c>
      <c r="H282" s="22">
        <v>0.0</v>
      </c>
      <c r="I282" s="22">
        <v>265.0</v>
      </c>
      <c r="J282" s="22">
        <v>227.0</v>
      </c>
      <c r="K282" s="22">
        <v>210.0</v>
      </c>
      <c r="L282" s="22" t="s">
        <v>29</v>
      </c>
      <c r="M282" s="22">
        <v>47.0</v>
      </c>
      <c r="N282" s="22">
        <v>207.0</v>
      </c>
      <c r="O282" s="23">
        <v>70.0</v>
      </c>
      <c r="P282" s="22">
        <v>195.0</v>
      </c>
      <c r="Q282" s="22">
        <v>8.0</v>
      </c>
      <c r="R282" s="22">
        <v>0.0</v>
      </c>
      <c r="S282" s="22">
        <v>0.0</v>
      </c>
      <c r="T282" s="24" t="s">
        <v>37</v>
      </c>
      <c r="U282" s="59" t="s">
        <v>42</v>
      </c>
      <c r="W282" s="60"/>
      <c r="X282" s="54"/>
      <c r="Y282" s="29"/>
    </row>
    <row r="283" ht="15.75" customHeight="1">
      <c r="A283" s="30">
        <v>264.0</v>
      </c>
      <c r="B283" s="31" t="s">
        <v>27</v>
      </c>
      <c r="C283" s="32" t="str">
        <f>HYPERLINK("https://azurlane.koumakan.jp/Z19","Z19")</f>
        <v>Z19</v>
      </c>
      <c r="D283" s="33" t="s">
        <v>36</v>
      </c>
      <c r="E283" s="33">
        <v>2082.0</v>
      </c>
      <c r="F283" s="33">
        <v>69.0</v>
      </c>
      <c r="G283" s="33">
        <v>446.0</v>
      </c>
      <c r="H283" s="33">
        <v>0.0</v>
      </c>
      <c r="I283" s="33">
        <v>152.0</v>
      </c>
      <c r="J283" s="33">
        <v>204.0</v>
      </c>
      <c r="K283" s="33">
        <v>192.0</v>
      </c>
      <c r="L283" s="33" t="s">
        <v>29</v>
      </c>
      <c r="M283" s="33">
        <v>43.0</v>
      </c>
      <c r="N283" s="33">
        <v>205.0</v>
      </c>
      <c r="O283" s="33">
        <v>39.0</v>
      </c>
      <c r="P283" s="33">
        <v>195.0</v>
      </c>
      <c r="Q283" s="33">
        <v>8.0</v>
      </c>
      <c r="R283" s="33">
        <v>0.0</v>
      </c>
      <c r="S283" s="33">
        <v>0.0</v>
      </c>
      <c r="T283" s="35" t="s">
        <v>193</v>
      </c>
      <c r="U283" s="57"/>
      <c r="V283" s="37" t="s">
        <v>76</v>
      </c>
      <c r="W283" s="62">
        <v>0.021527777777777778</v>
      </c>
      <c r="X283" s="39" t="s">
        <v>214</v>
      </c>
      <c r="Y283" s="40"/>
    </row>
    <row r="284" ht="15.75" customHeight="1">
      <c r="A284" s="19">
        <v>265.0</v>
      </c>
      <c r="B284" s="20" t="s">
        <v>27</v>
      </c>
      <c r="C284" s="21" t="str">
        <f>HYPERLINK("https://azurlane.koumakan.jp/Z20","Z20")</f>
        <v>Z20</v>
      </c>
      <c r="D284" s="22" t="s">
        <v>40</v>
      </c>
      <c r="E284" s="22">
        <v>2041.0</v>
      </c>
      <c r="F284" s="22">
        <v>66.0</v>
      </c>
      <c r="G284" s="22">
        <v>438.0</v>
      </c>
      <c r="H284" s="22">
        <v>0.0</v>
      </c>
      <c r="I284" s="22">
        <v>148.0</v>
      </c>
      <c r="J284" s="22">
        <v>199.0</v>
      </c>
      <c r="K284" s="22">
        <v>192.0</v>
      </c>
      <c r="L284" s="22" t="s">
        <v>29</v>
      </c>
      <c r="M284" s="22">
        <v>43.0</v>
      </c>
      <c r="N284" s="22">
        <v>205.0</v>
      </c>
      <c r="O284" s="22">
        <v>71.0</v>
      </c>
      <c r="P284" s="22">
        <v>192.0</v>
      </c>
      <c r="Q284" s="22">
        <v>7.0</v>
      </c>
      <c r="R284" s="22">
        <v>0.0</v>
      </c>
      <c r="S284" s="22">
        <v>0.0</v>
      </c>
      <c r="T284" s="24" t="s">
        <v>193</v>
      </c>
      <c r="U284" s="58"/>
      <c r="V284" s="75" t="s">
        <v>76</v>
      </c>
      <c r="W284" s="98"/>
      <c r="X284" s="28" t="s">
        <v>215</v>
      </c>
      <c r="Y284" s="29"/>
    </row>
    <row r="285" ht="15.75" customHeight="1">
      <c r="A285" s="30">
        <v>266.0</v>
      </c>
      <c r="B285" s="31" t="s">
        <v>27</v>
      </c>
      <c r="C285" s="32" t="str">
        <f>HYPERLINK("https://azurlane.koumakan.jp/Z21","Z21")</f>
        <v>Z21</v>
      </c>
      <c r="D285" s="33" t="s">
        <v>40</v>
      </c>
      <c r="E285" s="33">
        <v>2041.0</v>
      </c>
      <c r="F285" s="33">
        <v>66.0</v>
      </c>
      <c r="G285" s="33">
        <v>438.0</v>
      </c>
      <c r="H285" s="33">
        <v>0.0</v>
      </c>
      <c r="I285" s="33">
        <v>148.0</v>
      </c>
      <c r="J285" s="33">
        <v>199.0</v>
      </c>
      <c r="K285" s="33">
        <v>192.0</v>
      </c>
      <c r="L285" s="33" t="s">
        <v>29</v>
      </c>
      <c r="M285" s="33">
        <v>43.0</v>
      </c>
      <c r="N285" s="33">
        <v>205.0</v>
      </c>
      <c r="O285" s="33">
        <v>42.0</v>
      </c>
      <c r="P285" s="33">
        <v>193.0</v>
      </c>
      <c r="Q285" s="33">
        <v>7.0</v>
      </c>
      <c r="R285" s="33">
        <v>0.0</v>
      </c>
      <c r="S285" s="33">
        <v>0.0</v>
      </c>
      <c r="T285" s="35" t="s">
        <v>193</v>
      </c>
      <c r="U285" s="57"/>
      <c r="V285" s="37" t="s">
        <v>76</v>
      </c>
      <c r="W285" s="102"/>
      <c r="X285" s="39" t="s">
        <v>215</v>
      </c>
      <c r="Y285" s="40"/>
    </row>
    <row r="286" ht="15.75" customHeight="1">
      <c r="A286" s="19">
        <v>267.0</v>
      </c>
      <c r="B286" s="20" t="s">
        <v>27</v>
      </c>
      <c r="C286" s="21" t="str">
        <f>HYPERLINK("https://azurlane.koumakan.jp/Z46","Z46")</f>
        <v>Z46</v>
      </c>
      <c r="D286" s="22" t="s">
        <v>32</v>
      </c>
      <c r="E286" s="22">
        <v>2657.0</v>
      </c>
      <c r="F286" s="22">
        <v>91.0</v>
      </c>
      <c r="G286" s="22">
        <v>458.0</v>
      </c>
      <c r="H286" s="22">
        <v>0.0</v>
      </c>
      <c r="I286" s="22">
        <v>261.0</v>
      </c>
      <c r="J286" s="22">
        <v>215.0</v>
      </c>
      <c r="K286" s="22">
        <v>194.0</v>
      </c>
      <c r="L286" s="22" t="s">
        <v>29</v>
      </c>
      <c r="M286" s="22">
        <v>43.0</v>
      </c>
      <c r="N286" s="22">
        <v>203.0</v>
      </c>
      <c r="O286" s="22">
        <v>63.0</v>
      </c>
      <c r="P286" s="22">
        <v>213.0</v>
      </c>
      <c r="Q286" s="22">
        <v>10.0</v>
      </c>
      <c r="R286" s="22">
        <v>0.0</v>
      </c>
      <c r="S286" s="22">
        <v>0.0</v>
      </c>
      <c r="T286" s="24" t="s">
        <v>193</v>
      </c>
      <c r="U286" s="58"/>
      <c r="V286" s="75" t="s">
        <v>76</v>
      </c>
      <c r="W286" s="76">
        <v>0.027083333333333334</v>
      </c>
      <c r="X286" s="28" t="s">
        <v>214</v>
      </c>
      <c r="Y286" s="29"/>
    </row>
    <row r="287" ht="15.75" customHeight="1">
      <c r="A287" s="68">
        <v>268.0</v>
      </c>
      <c r="B287" s="69" t="s">
        <v>27</v>
      </c>
      <c r="C287" s="70" t="s">
        <v>216</v>
      </c>
      <c r="D287" s="35" t="s">
        <v>34</v>
      </c>
      <c r="E287" s="35">
        <v>2420.0</v>
      </c>
      <c r="F287" s="35">
        <v>77.0</v>
      </c>
      <c r="G287" s="105">
        <v>609.0</v>
      </c>
      <c r="H287" s="35">
        <v>0.0</v>
      </c>
      <c r="I287" s="35">
        <v>165.0</v>
      </c>
      <c r="J287" s="35">
        <v>228.0</v>
      </c>
      <c r="K287" s="35">
        <v>293.0</v>
      </c>
      <c r="L287" s="35" t="s">
        <v>29</v>
      </c>
      <c r="M287" s="35">
        <v>48.0</v>
      </c>
      <c r="N287" s="35">
        <v>228.0</v>
      </c>
      <c r="O287" s="35">
        <v>41.0</v>
      </c>
      <c r="P287" s="35">
        <v>213.0</v>
      </c>
      <c r="Q287" s="35">
        <v>12.0</v>
      </c>
      <c r="R287" s="35">
        <v>0.0</v>
      </c>
      <c r="S287" s="35">
        <v>0.0</v>
      </c>
      <c r="T287" s="35" t="s">
        <v>143</v>
      </c>
      <c r="U287" s="71"/>
      <c r="V287" s="81" t="s">
        <v>76</v>
      </c>
      <c r="W287" s="83"/>
      <c r="X287" s="95"/>
      <c r="Y287" s="74"/>
    </row>
    <row r="288" ht="15.75" customHeight="1">
      <c r="A288" s="19">
        <v>269.0</v>
      </c>
      <c r="B288" s="20" t="s">
        <v>27</v>
      </c>
      <c r="C288" s="21" t="str">
        <f>HYPERLINK("https://azurlane.koumakan.jp/Kamikaze","Kamikaze")</f>
        <v>Kamikaze</v>
      </c>
      <c r="D288" s="22" t="s">
        <v>36</v>
      </c>
      <c r="E288" s="22">
        <v>1599.0</v>
      </c>
      <c r="F288" s="22">
        <v>61.0</v>
      </c>
      <c r="G288" s="22">
        <v>409.0</v>
      </c>
      <c r="H288" s="22">
        <v>0.0</v>
      </c>
      <c r="I288" s="22">
        <v>142.0</v>
      </c>
      <c r="J288" s="22">
        <v>212.0</v>
      </c>
      <c r="K288" s="22">
        <v>250.0</v>
      </c>
      <c r="L288" s="22" t="s">
        <v>29</v>
      </c>
      <c r="M288" s="22">
        <v>44.0</v>
      </c>
      <c r="N288" s="22">
        <v>206.0</v>
      </c>
      <c r="O288" s="22">
        <v>86.0</v>
      </c>
      <c r="P288" s="22">
        <v>206.0</v>
      </c>
      <c r="Q288" s="22">
        <v>7.0</v>
      </c>
      <c r="R288" s="22">
        <v>0.0</v>
      </c>
      <c r="S288" s="22">
        <v>0.0</v>
      </c>
      <c r="T288" s="24" t="s">
        <v>143</v>
      </c>
      <c r="U288" s="58"/>
      <c r="V288" s="75" t="s">
        <v>29</v>
      </c>
      <c r="W288" s="76">
        <v>0.013888888888888888</v>
      </c>
      <c r="X288" s="54"/>
      <c r="Y288" s="29"/>
    </row>
    <row r="289" ht="15.75" customHeight="1">
      <c r="A289" s="30">
        <v>269.1</v>
      </c>
      <c r="B289" s="31" t="s">
        <v>27</v>
      </c>
      <c r="C289" s="32" t="str">
        <f>HYPERLINK("https://azurlane.koumakan.jp/Kamikaze#Retrofit","Kamikaze (R)")</f>
        <v>Kamikaze (R)</v>
      </c>
      <c r="D289" s="33" t="s">
        <v>28</v>
      </c>
      <c r="E289" s="33">
        <v>1764.0</v>
      </c>
      <c r="F289" s="33">
        <v>61.0</v>
      </c>
      <c r="G289" s="33">
        <v>419.0</v>
      </c>
      <c r="H289" s="33">
        <v>0.0</v>
      </c>
      <c r="I289" s="33">
        <v>182.0</v>
      </c>
      <c r="J289" s="33">
        <v>232.0</v>
      </c>
      <c r="K289" s="33">
        <v>250.0</v>
      </c>
      <c r="L289" s="33" t="s">
        <v>29</v>
      </c>
      <c r="M289" s="33">
        <v>47.0</v>
      </c>
      <c r="N289" s="33">
        <v>216.0</v>
      </c>
      <c r="O289" s="34">
        <v>86.0</v>
      </c>
      <c r="P289" s="33">
        <v>206.0</v>
      </c>
      <c r="Q289" s="33">
        <v>7.0</v>
      </c>
      <c r="R289" s="33">
        <v>0.0</v>
      </c>
      <c r="S289" s="33">
        <v>0.0</v>
      </c>
      <c r="T289" s="35" t="s">
        <v>143</v>
      </c>
      <c r="U289" s="55" t="s">
        <v>42</v>
      </c>
      <c r="W289" s="56"/>
      <c r="X289" s="53"/>
      <c r="Y289" s="40"/>
    </row>
    <row r="290" ht="15.75" customHeight="1">
      <c r="A290" s="19">
        <v>270.0</v>
      </c>
      <c r="B290" s="20" t="s">
        <v>27</v>
      </c>
      <c r="C290" s="21" t="str">
        <f>HYPERLINK("https://azurlane.koumakan.jp/Matsukaze","Matsukaze")</f>
        <v>Matsukaze</v>
      </c>
      <c r="D290" s="22" t="s">
        <v>36</v>
      </c>
      <c r="E290" s="22">
        <v>1599.0</v>
      </c>
      <c r="F290" s="22">
        <v>60.0</v>
      </c>
      <c r="G290" s="22">
        <v>409.0</v>
      </c>
      <c r="H290" s="22">
        <v>0.0</v>
      </c>
      <c r="I290" s="22">
        <v>133.0</v>
      </c>
      <c r="J290" s="22">
        <v>205.0</v>
      </c>
      <c r="K290" s="22">
        <v>246.0</v>
      </c>
      <c r="L290" s="22" t="s">
        <v>29</v>
      </c>
      <c r="M290" s="22">
        <v>44.0</v>
      </c>
      <c r="N290" s="22">
        <v>206.0</v>
      </c>
      <c r="O290" s="22">
        <v>45.0</v>
      </c>
      <c r="P290" s="22">
        <v>188.0</v>
      </c>
      <c r="Q290" s="22">
        <v>7.0</v>
      </c>
      <c r="R290" s="22">
        <v>0.0</v>
      </c>
      <c r="S290" s="22">
        <v>0.0</v>
      </c>
      <c r="T290" s="24" t="s">
        <v>143</v>
      </c>
      <c r="U290" s="58"/>
      <c r="V290" s="75" t="s">
        <v>29</v>
      </c>
      <c r="W290" s="76">
        <v>0.013888888888888888</v>
      </c>
      <c r="X290" s="28"/>
      <c r="Y290" s="29"/>
    </row>
    <row r="291" ht="15.75" customHeight="1">
      <c r="A291" s="30">
        <v>270.1</v>
      </c>
      <c r="B291" s="31" t="s">
        <v>27</v>
      </c>
      <c r="C291" s="32" t="str">
        <f>HYPERLINK("https://azurlane.koumakan.jp/Matsukaze#Retrofit","Matsukaze (R)")</f>
        <v>Matsukaze (R)</v>
      </c>
      <c r="D291" s="33" t="s">
        <v>28</v>
      </c>
      <c r="E291" s="33">
        <v>1764.0</v>
      </c>
      <c r="F291" s="33">
        <v>60.0</v>
      </c>
      <c r="G291" s="33">
        <v>419.0</v>
      </c>
      <c r="H291" s="33">
        <v>0.0</v>
      </c>
      <c r="I291" s="33">
        <v>173.0</v>
      </c>
      <c r="J291" s="33">
        <v>225.0</v>
      </c>
      <c r="K291" s="33">
        <v>246.0</v>
      </c>
      <c r="L291" s="33" t="s">
        <v>29</v>
      </c>
      <c r="M291" s="33">
        <v>47.0</v>
      </c>
      <c r="N291" s="33">
        <v>216.0</v>
      </c>
      <c r="O291" s="33">
        <v>45.0</v>
      </c>
      <c r="P291" s="33">
        <v>188.0</v>
      </c>
      <c r="Q291" s="33">
        <v>7.0</v>
      </c>
      <c r="R291" s="33">
        <v>0.0</v>
      </c>
      <c r="S291" s="33">
        <v>0.0</v>
      </c>
      <c r="T291" s="35" t="s">
        <v>143</v>
      </c>
      <c r="U291" s="55" t="s">
        <v>42</v>
      </c>
      <c r="W291" s="56"/>
      <c r="X291" s="53"/>
      <c r="Y291" s="40"/>
    </row>
    <row r="292" ht="15.75" customHeight="1">
      <c r="A292" s="19">
        <v>271.0</v>
      </c>
      <c r="B292" s="20" t="s">
        <v>27</v>
      </c>
      <c r="C292" s="21" t="str">
        <f>HYPERLINK("https://azurlane.koumakan.jp/Mutsuki","Mutsuki")</f>
        <v>Mutsuki</v>
      </c>
      <c r="D292" s="22" t="s">
        <v>40</v>
      </c>
      <c r="E292" s="22">
        <v>1523.0</v>
      </c>
      <c r="F292" s="22">
        <v>60.0</v>
      </c>
      <c r="G292" s="22">
        <v>433.0</v>
      </c>
      <c r="H292" s="22">
        <v>0.0</v>
      </c>
      <c r="I292" s="22">
        <v>141.0</v>
      </c>
      <c r="J292" s="22">
        <v>199.0</v>
      </c>
      <c r="K292" s="22">
        <v>250.0</v>
      </c>
      <c r="L292" s="22" t="s">
        <v>29</v>
      </c>
      <c r="M292" s="22">
        <v>44.0</v>
      </c>
      <c r="N292" s="22">
        <v>200.0</v>
      </c>
      <c r="O292" s="22">
        <v>35.0</v>
      </c>
      <c r="P292" s="22">
        <v>184.0</v>
      </c>
      <c r="Q292" s="22">
        <v>7.0</v>
      </c>
      <c r="R292" s="22">
        <v>0.0</v>
      </c>
      <c r="S292" s="22">
        <v>0.0</v>
      </c>
      <c r="T292" s="24" t="s">
        <v>143</v>
      </c>
      <c r="U292" s="58"/>
      <c r="V292" s="26" t="s">
        <v>29</v>
      </c>
      <c r="W292" s="27">
        <v>0.014583333333333334</v>
      </c>
      <c r="X292" s="54"/>
      <c r="Y292" s="29"/>
    </row>
    <row r="293" ht="15.75" customHeight="1">
      <c r="A293" s="30">
        <v>271.1</v>
      </c>
      <c r="B293" s="31" t="s">
        <v>27</v>
      </c>
      <c r="C293" s="32" t="str">
        <f>HYPERLINK("https://azurlane.koumakan.jp/Mutsuki#Retrofit","Mutsuki (R)")</f>
        <v>Mutsuki (R)</v>
      </c>
      <c r="D293" s="33" t="s">
        <v>36</v>
      </c>
      <c r="E293" s="33">
        <v>1688.0</v>
      </c>
      <c r="F293" s="33">
        <v>60.0</v>
      </c>
      <c r="G293" s="33">
        <v>468.0</v>
      </c>
      <c r="H293" s="33">
        <v>0.0</v>
      </c>
      <c r="I293" s="33">
        <v>176.0</v>
      </c>
      <c r="J293" s="33">
        <v>219.0</v>
      </c>
      <c r="K293" s="33">
        <v>250.0</v>
      </c>
      <c r="L293" s="33" t="s">
        <v>29</v>
      </c>
      <c r="M293" s="33">
        <v>47.0</v>
      </c>
      <c r="N293" s="33">
        <v>200.0</v>
      </c>
      <c r="O293" s="33">
        <v>35.0</v>
      </c>
      <c r="P293" s="33">
        <v>184.0</v>
      </c>
      <c r="Q293" s="33">
        <v>7.0</v>
      </c>
      <c r="R293" s="33">
        <v>0.0</v>
      </c>
      <c r="S293" s="33">
        <v>0.0</v>
      </c>
      <c r="T293" s="35" t="s">
        <v>143</v>
      </c>
      <c r="U293" s="55" t="s">
        <v>42</v>
      </c>
      <c r="W293" s="56"/>
      <c r="X293" s="53"/>
      <c r="Y293" s="40"/>
    </row>
    <row r="294" ht="15.75" customHeight="1">
      <c r="A294" s="19">
        <v>272.0</v>
      </c>
      <c r="B294" s="20" t="s">
        <v>27</v>
      </c>
      <c r="C294" s="21" t="str">
        <f>HYPERLINK("https://azurlane.koumakan.jp/Kisaragi","Kisaragi")</f>
        <v>Kisaragi</v>
      </c>
      <c r="D294" s="22" t="s">
        <v>40</v>
      </c>
      <c r="E294" s="22">
        <v>1523.0</v>
      </c>
      <c r="F294" s="22">
        <v>60.0</v>
      </c>
      <c r="G294" s="22">
        <v>433.0</v>
      </c>
      <c r="H294" s="22">
        <v>0.0</v>
      </c>
      <c r="I294" s="22">
        <v>141.0</v>
      </c>
      <c r="J294" s="22">
        <v>199.0</v>
      </c>
      <c r="K294" s="22">
        <v>250.0</v>
      </c>
      <c r="L294" s="22" t="s">
        <v>29</v>
      </c>
      <c r="M294" s="22">
        <v>44.0</v>
      </c>
      <c r="N294" s="22">
        <v>200.0</v>
      </c>
      <c r="O294" s="22">
        <v>15.0</v>
      </c>
      <c r="P294" s="22">
        <v>182.0</v>
      </c>
      <c r="Q294" s="22">
        <v>7.0</v>
      </c>
      <c r="R294" s="22">
        <v>0.0</v>
      </c>
      <c r="S294" s="22">
        <v>0.0</v>
      </c>
      <c r="T294" s="24" t="s">
        <v>143</v>
      </c>
      <c r="U294" s="58"/>
      <c r="V294" s="26" t="s">
        <v>29</v>
      </c>
      <c r="W294" s="27">
        <v>0.014583333333333334</v>
      </c>
      <c r="X294" s="54"/>
      <c r="Y294" s="29"/>
    </row>
    <row r="295" ht="15.75" customHeight="1">
      <c r="A295" s="30">
        <v>272.1</v>
      </c>
      <c r="B295" s="31" t="s">
        <v>27</v>
      </c>
      <c r="C295" s="32" t="str">
        <f>HYPERLINK("https://azurlane.koumakan.jp/Kisaragi#Retrofit","Kisaragi (R)")</f>
        <v>Kisaragi (R)</v>
      </c>
      <c r="D295" s="33" t="s">
        <v>36</v>
      </c>
      <c r="E295" s="33">
        <v>1688.0</v>
      </c>
      <c r="F295" s="33">
        <v>60.0</v>
      </c>
      <c r="G295" s="33">
        <v>468.0</v>
      </c>
      <c r="H295" s="33">
        <v>0.0</v>
      </c>
      <c r="I295" s="33">
        <v>176.0</v>
      </c>
      <c r="J295" s="33">
        <v>219.0</v>
      </c>
      <c r="K295" s="33">
        <v>250.0</v>
      </c>
      <c r="L295" s="33" t="s">
        <v>29</v>
      </c>
      <c r="M295" s="33">
        <v>47.0</v>
      </c>
      <c r="N295" s="33">
        <v>200.0</v>
      </c>
      <c r="O295" s="33">
        <v>15.0</v>
      </c>
      <c r="P295" s="33">
        <v>182.0</v>
      </c>
      <c r="Q295" s="33">
        <v>7.0</v>
      </c>
      <c r="R295" s="33">
        <v>0.0</v>
      </c>
      <c r="S295" s="33">
        <v>0.0</v>
      </c>
      <c r="T295" s="35" t="s">
        <v>143</v>
      </c>
      <c r="U295" s="55" t="s">
        <v>42</v>
      </c>
      <c r="W295" s="56"/>
      <c r="X295" s="53"/>
      <c r="Y295" s="40"/>
    </row>
    <row r="296" ht="15.75" customHeight="1">
      <c r="A296" s="19">
        <v>274.0</v>
      </c>
      <c r="B296" s="20" t="s">
        <v>27</v>
      </c>
      <c r="C296" s="21" t="str">
        <f>HYPERLINK("https://azurlane.koumakan.jp/Uzuki","Uzuki")</f>
        <v>Uzuki</v>
      </c>
      <c r="D296" s="22" t="s">
        <v>40</v>
      </c>
      <c r="E296" s="22">
        <v>1523.0</v>
      </c>
      <c r="F296" s="22">
        <v>60.0</v>
      </c>
      <c r="G296" s="22">
        <v>433.0</v>
      </c>
      <c r="H296" s="22">
        <v>0.0</v>
      </c>
      <c r="I296" s="22">
        <v>141.0</v>
      </c>
      <c r="J296" s="22">
        <v>199.0</v>
      </c>
      <c r="K296" s="22">
        <v>250.0</v>
      </c>
      <c r="L296" s="22" t="s">
        <v>29</v>
      </c>
      <c r="M296" s="22">
        <v>44.0</v>
      </c>
      <c r="N296" s="22">
        <v>200.0</v>
      </c>
      <c r="O296" s="22">
        <v>37.0</v>
      </c>
      <c r="P296" s="22">
        <v>184.0</v>
      </c>
      <c r="Q296" s="22">
        <v>7.0</v>
      </c>
      <c r="R296" s="22">
        <v>0.0</v>
      </c>
      <c r="S296" s="22">
        <v>0.0</v>
      </c>
      <c r="T296" s="24" t="s">
        <v>143</v>
      </c>
      <c r="U296" s="58"/>
      <c r="V296" s="26" t="s">
        <v>29</v>
      </c>
      <c r="W296" s="27">
        <v>0.014583333333333334</v>
      </c>
      <c r="X296" s="54"/>
      <c r="Y296" s="29"/>
    </row>
    <row r="297" ht="15.75" customHeight="1">
      <c r="A297" s="30">
        <v>276.0</v>
      </c>
      <c r="B297" s="31" t="s">
        <v>27</v>
      </c>
      <c r="C297" s="32" t="str">
        <f>HYPERLINK("https://azurlane.koumakan.jp/Minazuki","Minazuki")</f>
        <v>Minazuki</v>
      </c>
      <c r="D297" s="33" t="s">
        <v>40</v>
      </c>
      <c r="E297" s="33">
        <v>1523.0</v>
      </c>
      <c r="F297" s="33">
        <v>60.0</v>
      </c>
      <c r="G297" s="33">
        <v>433.0</v>
      </c>
      <c r="H297" s="33">
        <v>0.0</v>
      </c>
      <c r="I297" s="33">
        <v>141.0</v>
      </c>
      <c r="J297" s="33">
        <v>199.0</v>
      </c>
      <c r="K297" s="33">
        <v>250.0</v>
      </c>
      <c r="L297" s="33" t="s">
        <v>29</v>
      </c>
      <c r="M297" s="33">
        <v>44.0</v>
      </c>
      <c r="N297" s="33">
        <v>200.0</v>
      </c>
      <c r="O297" s="33">
        <v>45.0</v>
      </c>
      <c r="P297" s="33">
        <v>171.0</v>
      </c>
      <c r="Q297" s="33">
        <v>7.0</v>
      </c>
      <c r="R297" s="33">
        <v>0.0</v>
      </c>
      <c r="S297" s="33">
        <v>0.0</v>
      </c>
      <c r="T297" s="35" t="s">
        <v>143</v>
      </c>
      <c r="U297" s="36" t="s">
        <v>217</v>
      </c>
      <c r="V297" s="61" t="s">
        <v>39</v>
      </c>
      <c r="W297" s="102"/>
      <c r="X297" s="53"/>
      <c r="Y297" s="40"/>
    </row>
    <row r="298" ht="15.75" customHeight="1">
      <c r="A298" s="19">
        <v>277.0</v>
      </c>
      <c r="B298" s="20" t="s">
        <v>27</v>
      </c>
      <c r="C298" s="21" t="str">
        <f>HYPERLINK("https://azurlane.koumakan.jp/Fumizuki","Fumizuki")</f>
        <v>Fumizuki</v>
      </c>
      <c r="D298" s="22" t="s">
        <v>36</v>
      </c>
      <c r="E298" s="22">
        <v>1553.0</v>
      </c>
      <c r="F298" s="22">
        <v>61.0</v>
      </c>
      <c r="G298" s="22">
        <v>444.0</v>
      </c>
      <c r="H298" s="22">
        <v>0.0</v>
      </c>
      <c r="I298" s="22">
        <v>131.0</v>
      </c>
      <c r="J298" s="22">
        <v>204.0</v>
      </c>
      <c r="K298" s="22">
        <v>250.0</v>
      </c>
      <c r="L298" s="22" t="s">
        <v>29</v>
      </c>
      <c r="M298" s="22">
        <v>44.0</v>
      </c>
      <c r="N298" s="22">
        <v>200.0</v>
      </c>
      <c r="O298" s="22">
        <v>27.0</v>
      </c>
      <c r="P298" s="22">
        <v>187.0</v>
      </c>
      <c r="Q298" s="22">
        <v>8.0</v>
      </c>
      <c r="R298" s="22">
        <v>0.0</v>
      </c>
      <c r="S298" s="22">
        <v>0.0</v>
      </c>
      <c r="T298" s="24" t="s">
        <v>143</v>
      </c>
      <c r="U298" s="58"/>
      <c r="V298" s="26" t="s">
        <v>76</v>
      </c>
      <c r="W298" s="27">
        <v>0.014583333333333334</v>
      </c>
      <c r="X298" s="28" t="s">
        <v>218</v>
      </c>
      <c r="Y298" s="29"/>
    </row>
    <row r="299" ht="15.75" customHeight="1">
      <c r="A299" s="30">
        <v>278.0</v>
      </c>
      <c r="B299" s="31" t="s">
        <v>27</v>
      </c>
      <c r="C299" s="32" t="str">
        <f>HYPERLINK("https://azurlane.koumakan.jp/Nagatsuki","Nagatsuki")</f>
        <v>Nagatsuki</v>
      </c>
      <c r="D299" s="33" t="s">
        <v>36</v>
      </c>
      <c r="E299" s="33">
        <v>1553.0</v>
      </c>
      <c r="F299" s="33">
        <v>61.0</v>
      </c>
      <c r="G299" s="33">
        <v>444.0</v>
      </c>
      <c r="H299" s="33">
        <v>0.0</v>
      </c>
      <c r="I299" s="33">
        <v>131.0</v>
      </c>
      <c r="J299" s="33">
        <v>204.0</v>
      </c>
      <c r="K299" s="33">
        <v>250.0</v>
      </c>
      <c r="L299" s="33" t="s">
        <v>29</v>
      </c>
      <c r="M299" s="33">
        <v>44.0</v>
      </c>
      <c r="N299" s="33">
        <v>200.0</v>
      </c>
      <c r="O299" s="33">
        <v>35.0</v>
      </c>
      <c r="P299" s="33">
        <v>190.0</v>
      </c>
      <c r="Q299" s="33">
        <v>8.0</v>
      </c>
      <c r="R299" s="33">
        <v>0.0</v>
      </c>
      <c r="S299" s="33">
        <v>0.0</v>
      </c>
      <c r="T299" s="35" t="s">
        <v>143</v>
      </c>
      <c r="U299" s="57"/>
      <c r="V299" s="37" t="s">
        <v>219</v>
      </c>
      <c r="W299" s="38">
        <v>0.014583333333333334</v>
      </c>
      <c r="X299" s="53"/>
      <c r="Y299" s="40"/>
    </row>
    <row r="300" ht="15.75" customHeight="1">
      <c r="A300" s="19">
        <v>280.0</v>
      </c>
      <c r="B300" s="20" t="s">
        <v>27</v>
      </c>
      <c r="C300" s="21" t="str">
        <f>HYPERLINK("https://azurlane.koumakan.jp/Mikazuki","Mikazuki")</f>
        <v>Mikazuki</v>
      </c>
      <c r="D300" s="22" t="s">
        <v>40</v>
      </c>
      <c r="E300" s="22">
        <v>1523.0</v>
      </c>
      <c r="F300" s="22">
        <v>69.0</v>
      </c>
      <c r="G300" s="22">
        <v>433.0</v>
      </c>
      <c r="H300" s="22">
        <v>0.0</v>
      </c>
      <c r="I300" s="22">
        <v>141.0</v>
      </c>
      <c r="J300" s="22">
        <v>199.0</v>
      </c>
      <c r="K300" s="22">
        <v>250.0</v>
      </c>
      <c r="L300" s="22" t="s">
        <v>29</v>
      </c>
      <c r="M300" s="22">
        <v>44.0</v>
      </c>
      <c r="N300" s="22">
        <v>200.0</v>
      </c>
      <c r="O300" s="22">
        <v>40.0</v>
      </c>
      <c r="P300" s="22">
        <v>185.0</v>
      </c>
      <c r="Q300" s="22">
        <v>7.0</v>
      </c>
      <c r="R300" s="22">
        <v>0.0</v>
      </c>
      <c r="S300" s="22">
        <v>0.0</v>
      </c>
      <c r="T300" s="24" t="s">
        <v>143</v>
      </c>
      <c r="U300" s="25" t="s">
        <v>217</v>
      </c>
      <c r="V300" s="26" t="s">
        <v>39</v>
      </c>
      <c r="W300" s="65"/>
      <c r="X300" s="54"/>
      <c r="Y300" s="29"/>
    </row>
    <row r="301" ht="15.75" customHeight="1">
      <c r="A301" s="68">
        <v>286.0</v>
      </c>
      <c r="B301" s="69" t="s">
        <v>27</v>
      </c>
      <c r="C301" s="70" t="s">
        <v>220</v>
      </c>
      <c r="D301" s="35" t="s">
        <v>28</v>
      </c>
      <c r="E301" s="35">
        <v>1722.0</v>
      </c>
      <c r="F301" s="35">
        <v>64.0</v>
      </c>
      <c r="G301" s="35">
        <v>500.0</v>
      </c>
      <c r="H301" s="35">
        <v>0.0</v>
      </c>
      <c r="I301" s="35">
        <v>142.0</v>
      </c>
      <c r="J301" s="35">
        <v>202.0</v>
      </c>
      <c r="K301" s="35">
        <v>246.0</v>
      </c>
      <c r="L301" s="35" t="s">
        <v>29</v>
      </c>
      <c r="M301" s="35">
        <v>40.0</v>
      </c>
      <c r="N301" s="35">
        <v>215.0</v>
      </c>
      <c r="O301" s="35">
        <v>50.0</v>
      </c>
      <c r="P301" s="35">
        <v>187.0</v>
      </c>
      <c r="Q301" s="35">
        <v>9.0</v>
      </c>
      <c r="R301" s="35">
        <v>0.0</v>
      </c>
      <c r="S301" s="35">
        <v>0.0</v>
      </c>
      <c r="T301" s="35" t="s">
        <v>143</v>
      </c>
      <c r="U301" s="71"/>
      <c r="V301" s="35" t="s">
        <v>76</v>
      </c>
      <c r="W301" s="83"/>
      <c r="X301" s="95"/>
      <c r="Y301" s="74"/>
    </row>
    <row r="302" ht="15.75" customHeight="1">
      <c r="A302" s="41">
        <v>287.0</v>
      </c>
      <c r="B302" s="42" t="s">
        <v>27</v>
      </c>
      <c r="C302" s="99" t="s">
        <v>221</v>
      </c>
      <c r="D302" s="24" t="s">
        <v>28</v>
      </c>
      <c r="E302" s="24">
        <v>1722.0</v>
      </c>
      <c r="F302" s="24">
        <v>66.0</v>
      </c>
      <c r="G302" s="24">
        <v>494.0</v>
      </c>
      <c r="H302" s="24">
        <v>0.0</v>
      </c>
      <c r="I302" s="24">
        <v>142.0</v>
      </c>
      <c r="J302" s="24">
        <v>202.0</v>
      </c>
      <c r="K302" s="24">
        <v>246.0</v>
      </c>
      <c r="L302" s="24" t="s">
        <v>29</v>
      </c>
      <c r="M302" s="24">
        <v>40.0</v>
      </c>
      <c r="N302" s="24">
        <v>215.0</v>
      </c>
      <c r="O302" s="24">
        <v>35.0</v>
      </c>
      <c r="P302" s="24">
        <v>190.0</v>
      </c>
      <c r="Q302" s="24">
        <v>9.0</v>
      </c>
      <c r="R302" s="24">
        <v>0.0</v>
      </c>
      <c r="S302" s="24">
        <v>0.0</v>
      </c>
      <c r="T302" s="24" t="s">
        <v>143</v>
      </c>
      <c r="U302" s="45"/>
      <c r="V302" s="24" t="s">
        <v>76</v>
      </c>
      <c r="W302" s="46"/>
      <c r="X302" s="47"/>
      <c r="Y302" s="48"/>
    </row>
    <row r="303" ht="15.75" customHeight="1">
      <c r="A303" s="30">
        <v>288.0</v>
      </c>
      <c r="B303" s="31" t="s">
        <v>27</v>
      </c>
      <c r="C303" s="32" t="str">
        <f>HYPERLINK("https://azurlane.koumakan.jp/Kawakaze","Kawakaze")</f>
        <v>Kawakaze</v>
      </c>
      <c r="D303" s="33" t="s">
        <v>32</v>
      </c>
      <c r="E303" s="33">
        <v>1875.0</v>
      </c>
      <c r="F303" s="33">
        <v>70.0</v>
      </c>
      <c r="G303" s="33">
        <v>551.0</v>
      </c>
      <c r="H303" s="33">
        <v>0.0</v>
      </c>
      <c r="I303" s="33">
        <v>164.0</v>
      </c>
      <c r="J303" s="33">
        <v>220.0</v>
      </c>
      <c r="K303" s="33">
        <v>246.0</v>
      </c>
      <c r="L303" s="33" t="s">
        <v>29</v>
      </c>
      <c r="M303" s="33">
        <v>40.0</v>
      </c>
      <c r="N303" s="33">
        <v>215.0</v>
      </c>
      <c r="O303" s="33">
        <v>38.0</v>
      </c>
      <c r="P303" s="33">
        <v>203.0</v>
      </c>
      <c r="Q303" s="33">
        <v>10.0</v>
      </c>
      <c r="R303" s="33">
        <v>0.0</v>
      </c>
      <c r="S303" s="33">
        <v>0.0</v>
      </c>
      <c r="T303" s="35" t="s">
        <v>143</v>
      </c>
      <c r="U303" s="57"/>
      <c r="V303" s="37" t="s">
        <v>76</v>
      </c>
      <c r="W303" s="38">
        <v>0.017361111111111112</v>
      </c>
      <c r="X303" s="39" t="s">
        <v>222</v>
      </c>
      <c r="Y303" s="40"/>
    </row>
    <row r="304" ht="15.75" customHeight="1">
      <c r="A304" s="41">
        <v>293.0</v>
      </c>
      <c r="B304" s="42" t="s">
        <v>27</v>
      </c>
      <c r="C304" s="43" t="str">
        <f>HYPERLINK("https://azurlane.koumakan.jp/Kiyonami","Kiyonami")</f>
        <v>Kiyonami</v>
      </c>
      <c r="D304" s="24" t="s">
        <v>36</v>
      </c>
      <c r="E304" s="24">
        <v>2105.0</v>
      </c>
      <c r="F304" s="24">
        <v>60.0</v>
      </c>
      <c r="G304" s="24">
        <v>503.0</v>
      </c>
      <c r="H304" s="24">
        <v>0.0</v>
      </c>
      <c r="I304" s="24">
        <v>141.0</v>
      </c>
      <c r="J304" s="24">
        <v>213.0</v>
      </c>
      <c r="K304" s="24">
        <v>246.0</v>
      </c>
      <c r="L304" s="24" t="s">
        <v>29</v>
      </c>
      <c r="M304" s="24">
        <v>42.0</v>
      </c>
      <c r="N304" s="24">
        <v>218.0</v>
      </c>
      <c r="O304" s="24">
        <v>46.0</v>
      </c>
      <c r="P304" s="24">
        <v>187.0</v>
      </c>
      <c r="Q304" s="24">
        <v>8.0</v>
      </c>
      <c r="R304" s="24">
        <v>0.0</v>
      </c>
      <c r="S304" s="24">
        <v>0.0</v>
      </c>
      <c r="T304" s="24" t="s">
        <v>143</v>
      </c>
      <c r="U304" s="45"/>
      <c r="V304" s="103" t="s">
        <v>29</v>
      </c>
      <c r="W304" s="104">
        <v>0.01875</v>
      </c>
      <c r="X304" s="67" t="s">
        <v>156</v>
      </c>
      <c r="Y304" s="48"/>
    </row>
    <row r="305" ht="15.75" customHeight="1">
      <c r="A305" s="30">
        <v>295.0</v>
      </c>
      <c r="B305" s="31" t="s">
        <v>27</v>
      </c>
      <c r="C305" s="32" t="str">
        <f>HYPERLINK("https://azurlane.koumakan.jp/Niizuki","Niizuki")</f>
        <v>Niizuki</v>
      </c>
      <c r="D305" s="33" t="s">
        <v>28</v>
      </c>
      <c r="E305" s="33">
        <v>2504.0</v>
      </c>
      <c r="F305" s="33">
        <v>77.0</v>
      </c>
      <c r="G305" s="33">
        <v>375.0</v>
      </c>
      <c r="H305" s="33">
        <v>0.0</v>
      </c>
      <c r="I305" s="33">
        <v>198.0</v>
      </c>
      <c r="J305" s="33">
        <v>213.0</v>
      </c>
      <c r="K305" s="33">
        <v>232.0</v>
      </c>
      <c r="L305" s="33" t="s">
        <v>29</v>
      </c>
      <c r="M305" s="33">
        <v>39.0</v>
      </c>
      <c r="N305" s="33">
        <v>207.0</v>
      </c>
      <c r="O305" s="33">
        <v>32.0</v>
      </c>
      <c r="P305" s="33">
        <v>203.0</v>
      </c>
      <c r="Q305" s="33">
        <v>9.0</v>
      </c>
      <c r="R305" s="33">
        <v>0.0</v>
      </c>
      <c r="S305" s="33">
        <v>0.0</v>
      </c>
      <c r="T305" s="35" t="s">
        <v>143</v>
      </c>
      <c r="U305" s="36" t="s">
        <v>223</v>
      </c>
      <c r="V305" s="37" t="s">
        <v>39</v>
      </c>
      <c r="W305" s="52"/>
      <c r="X305" s="53"/>
      <c r="Y305" s="40"/>
    </row>
    <row r="306" ht="15.75" customHeight="1">
      <c r="A306" s="19">
        <v>296.0</v>
      </c>
      <c r="B306" s="20" t="s">
        <v>27</v>
      </c>
      <c r="C306" s="21" t="str">
        <f>HYPERLINK("https://azurlane.koumakan.jp/Harutsuki","Harutsuki")</f>
        <v>Harutsuki</v>
      </c>
      <c r="D306" s="22" t="s">
        <v>28</v>
      </c>
      <c r="E306" s="22">
        <v>2504.0</v>
      </c>
      <c r="F306" s="22">
        <v>75.0</v>
      </c>
      <c r="G306" s="22">
        <v>368.0</v>
      </c>
      <c r="H306" s="22">
        <v>0.0</v>
      </c>
      <c r="I306" s="22">
        <v>198.0</v>
      </c>
      <c r="J306" s="22">
        <v>213.0</v>
      </c>
      <c r="K306" s="22">
        <v>232.0</v>
      </c>
      <c r="L306" s="22" t="s">
        <v>29</v>
      </c>
      <c r="M306" s="22">
        <v>39.0</v>
      </c>
      <c r="N306" s="22">
        <v>212.0</v>
      </c>
      <c r="O306" s="22">
        <v>61.0</v>
      </c>
      <c r="P306" s="22">
        <v>210.0</v>
      </c>
      <c r="Q306" s="22">
        <v>9.0</v>
      </c>
      <c r="R306" s="22">
        <v>0.0</v>
      </c>
      <c r="S306" s="22">
        <v>0.0</v>
      </c>
      <c r="T306" s="24" t="s">
        <v>143</v>
      </c>
      <c r="U306" s="58"/>
      <c r="V306" s="26" t="s">
        <v>76</v>
      </c>
      <c r="W306" s="76">
        <v>0.02013888888888889</v>
      </c>
      <c r="X306" s="28" t="s">
        <v>218</v>
      </c>
      <c r="Y306" s="29"/>
    </row>
    <row r="307" ht="15.75" customHeight="1">
      <c r="A307" s="30">
        <v>297.0</v>
      </c>
      <c r="B307" s="31" t="s">
        <v>27</v>
      </c>
      <c r="C307" s="32" t="str">
        <f>HYPERLINK("https://azurlane.koumakan.jp/Yoizuki","Yoizuki")</f>
        <v>Yoizuki</v>
      </c>
      <c r="D307" s="33" t="s">
        <v>28</v>
      </c>
      <c r="E307" s="33">
        <v>2504.0</v>
      </c>
      <c r="F307" s="33">
        <v>75.0</v>
      </c>
      <c r="G307" s="33">
        <v>368.0</v>
      </c>
      <c r="H307" s="33">
        <v>0.0</v>
      </c>
      <c r="I307" s="33">
        <v>204.0</v>
      </c>
      <c r="J307" s="33">
        <v>213.0</v>
      </c>
      <c r="K307" s="33">
        <v>232.0</v>
      </c>
      <c r="L307" s="33" t="s">
        <v>29</v>
      </c>
      <c r="M307" s="33">
        <v>39.0</v>
      </c>
      <c r="N307" s="33">
        <v>212.0</v>
      </c>
      <c r="O307" s="33">
        <v>61.0</v>
      </c>
      <c r="P307" s="33">
        <v>203.0</v>
      </c>
      <c r="Q307" s="33">
        <v>9.0</v>
      </c>
      <c r="R307" s="33">
        <v>0.0</v>
      </c>
      <c r="S307" s="33">
        <v>0.0</v>
      </c>
      <c r="T307" s="35" t="s">
        <v>143</v>
      </c>
      <c r="U307" s="57"/>
      <c r="V307" s="37" t="s">
        <v>76</v>
      </c>
      <c r="W307" s="38">
        <v>0.02013888888888889</v>
      </c>
      <c r="X307" s="39" t="s">
        <v>218</v>
      </c>
      <c r="Y307" s="40"/>
    </row>
    <row r="308" ht="15.75" customHeight="1">
      <c r="A308" s="19">
        <v>299.0</v>
      </c>
      <c r="B308" s="20" t="s">
        <v>27</v>
      </c>
      <c r="C308" s="21" t="str">
        <f>HYPERLINK("https://azurlane.koumakan.jp/Radford","Radford")</f>
        <v>Radford</v>
      </c>
      <c r="D308" s="22" t="s">
        <v>36</v>
      </c>
      <c r="E308" s="22">
        <v>2104.0</v>
      </c>
      <c r="F308" s="22">
        <v>87.0</v>
      </c>
      <c r="G308" s="22">
        <v>287.0</v>
      </c>
      <c r="H308" s="22">
        <v>0.0</v>
      </c>
      <c r="I308" s="22">
        <v>176.0</v>
      </c>
      <c r="J308" s="22">
        <v>204.0</v>
      </c>
      <c r="K308" s="22">
        <v>210.0</v>
      </c>
      <c r="L308" s="22" t="s">
        <v>29</v>
      </c>
      <c r="M308" s="22">
        <v>45.0</v>
      </c>
      <c r="N308" s="22">
        <v>222.0</v>
      </c>
      <c r="O308" s="22">
        <v>80.0</v>
      </c>
      <c r="P308" s="22">
        <v>209.0</v>
      </c>
      <c r="Q308" s="22">
        <v>8.0</v>
      </c>
      <c r="R308" s="22">
        <v>0.0</v>
      </c>
      <c r="S308" s="22">
        <v>0.0</v>
      </c>
      <c r="T308" s="24" t="s">
        <v>37</v>
      </c>
      <c r="U308" s="25" t="s">
        <v>224</v>
      </c>
      <c r="V308" s="26" t="s">
        <v>39</v>
      </c>
      <c r="W308" s="98"/>
      <c r="X308" s="54"/>
      <c r="Y308" s="29"/>
    </row>
    <row r="309" ht="15.75" customHeight="1">
      <c r="A309" s="30">
        <v>300.0</v>
      </c>
      <c r="B309" s="31" t="s">
        <v>27</v>
      </c>
      <c r="C309" s="32" t="str">
        <f>HYPERLINK("https://azurlane.koumakan.jp/Jenkins","Jenkins")</f>
        <v>Jenkins</v>
      </c>
      <c r="D309" s="33" t="s">
        <v>36</v>
      </c>
      <c r="E309" s="33">
        <v>2130.0</v>
      </c>
      <c r="F309" s="33">
        <v>87.0</v>
      </c>
      <c r="G309" s="33">
        <v>287.0</v>
      </c>
      <c r="H309" s="33">
        <v>0.0</v>
      </c>
      <c r="I309" s="33">
        <v>176.0</v>
      </c>
      <c r="J309" s="33">
        <v>204.0</v>
      </c>
      <c r="K309" s="33">
        <v>209.0</v>
      </c>
      <c r="L309" s="33" t="s">
        <v>29</v>
      </c>
      <c r="M309" s="33">
        <v>43.0</v>
      </c>
      <c r="N309" s="33">
        <v>222.0</v>
      </c>
      <c r="O309" s="33">
        <v>81.0</v>
      </c>
      <c r="P309" s="33">
        <v>209.0</v>
      </c>
      <c r="Q309" s="33">
        <v>8.0</v>
      </c>
      <c r="R309" s="33">
        <v>0.0</v>
      </c>
      <c r="S309" s="33">
        <v>0.0</v>
      </c>
      <c r="T309" s="35" t="s">
        <v>37</v>
      </c>
      <c r="U309" s="36" t="s">
        <v>224</v>
      </c>
      <c r="V309" s="37" t="s">
        <v>39</v>
      </c>
      <c r="W309" s="52"/>
      <c r="X309" s="53"/>
      <c r="Y309" s="40"/>
    </row>
    <row r="310" ht="15.75" customHeight="1">
      <c r="A310" s="19">
        <v>301.0</v>
      </c>
      <c r="B310" s="20" t="s">
        <v>27</v>
      </c>
      <c r="C310" s="21" t="str">
        <f>HYPERLINK("https://azurlane.koumakan.jp/Nicholas","Nicholas")</f>
        <v>Nicholas</v>
      </c>
      <c r="D310" s="22" t="s">
        <v>28</v>
      </c>
      <c r="E310" s="22">
        <v>2167.0</v>
      </c>
      <c r="F310" s="22">
        <v>88.0</v>
      </c>
      <c r="G310" s="22">
        <v>295.0</v>
      </c>
      <c r="H310" s="22">
        <v>0.0</v>
      </c>
      <c r="I310" s="22">
        <v>182.0</v>
      </c>
      <c r="J310" s="22">
        <v>210.0</v>
      </c>
      <c r="K310" s="22">
        <v>206.0</v>
      </c>
      <c r="L310" s="22" t="s">
        <v>29</v>
      </c>
      <c r="M310" s="22">
        <v>42.0</v>
      </c>
      <c r="N310" s="22">
        <v>222.0</v>
      </c>
      <c r="O310" s="22">
        <v>80.0</v>
      </c>
      <c r="P310" s="22">
        <v>215.0</v>
      </c>
      <c r="Q310" s="22">
        <v>9.0</v>
      </c>
      <c r="R310" s="22">
        <v>0.0</v>
      </c>
      <c r="S310" s="22">
        <v>0.0</v>
      </c>
      <c r="T310" s="24" t="s">
        <v>37</v>
      </c>
      <c r="U310" s="25" t="s">
        <v>225</v>
      </c>
      <c r="V310" s="26" t="s">
        <v>39</v>
      </c>
      <c r="W310" s="98"/>
      <c r="X310" s="54"/>
      <c r="Y310" s="29"/>
    </row>
    <row r="311" ht="15.75" customHeight="1">
      <c r="A311" s="30">
        <v>301.1</v>
      </c>
      <c r="B311" s="31" t="s">
        <v>27</v>
      </c>
      <c r="C311" s="32" t="str">
        <f>HYPERLINK("https://azurlane.koumakan.jp/Nicholas#Retrofit","Nicholas (R)")</f>
        <v>Nicholas (R)</v>
      </c>
      <c r="D311" s="33" t="s">
        <v>32</v>
      </c>
      <c r="E311" s="33">
        <v>2332.0</v>
      </c>
      <c r="F311" s="33">
        <v>133.0</v>
      </c>
      <c r="G311" s="33">
        <v>360.0</v>
      </c>
      <c r="H311" s="33">
        <v>0.0</v>
      </c>
      <c r="I311" s="33">
        <v>237.0</v>
      </c>
      <c r="J311" s="33">
        <v>210.0</v>
      </c>
      <c r="K311" s="33">
        <v>206.0</v>
      </c>
      <c r="L311" s="33" t="s">
        <v>29</v>
      </c>
      <c r="M311" s="33">
        <v>42.0</v>
      </c>
      <c r="N311" s="33">
        <v>222.0</v>
      </c>
      <c r="O311" s="34">
        <v>80.0</v>
      </c>
      <c r="P311" s="33">
        <v>225.0</v>
      </c>
      <c r="Q311" s="33">
        <v>9.0</v>
      </c>
      <c r="R311" s="33">
        <v>0.0</v>
      </c>
      <c r="S311" s="33">
        <v>0.0</v>
      </c>
      <c r="T311" s="35" t="s">
        <v>37</v>
      </c>
      <c r="U311" s="55" t="s">
        <v>42</v>
      </c>
      <c r="W311" s="56"/>
      <c r="X311" s="53"/>
      <c r="Y311" s="40"/>
    </row>
    <row r="312" ht="15.75" customHeight="1">
      <c r="A312" s="19">
        <v>303.0</v>
      </c>
      <c r="B312" s="20" t="s">
        <v>52</v>
      </c>
      <c r="C312" s="21" t="str">
        <f>HYPERLINK("https://azurlane.koumakan.jp/Richmond","Richmond")</f>
        <v>Richmond</v>
      </c>
      <c r="D312" s="22" t="s">
        <v>40</v>
      </c>
      <c r="E312" s="22">
        <v>3312.0</v>
      </c>
      <c r="F312" s="22">
        <v>144.0</v>
      </c>
      <c r="G312" s="22">
        <v>210.0</v>
      </c>
      <c r="H312" s="22">
        <v>0.0</v>
      </c>
      <c r="I312" s="22">
        <v>287.0</v>
      </c>
      <c r="J312" s="22">
        <v>185.0</v>
      </c>
      <c r="K312" s="22">
        <v>127.0</v>
      </c>
      <c r="L312" s="22" t="s">
        <v>29</v>
      </c>
      <c r="M312" s="22">
        <v>35.0</v>
      </c>
      <c r="N312" s="22">
        <v>156.0</v>
      </c>
      <c r="O312" s="22">
        <v>69.0</v>
      </c>
      <c r="P312" s="22">
        <v>94.0</v>
      </c>
      <c r="Q312" s="22">
        <v>8.0</v>
      </c>
      <c r="R312" s="22">
        <v>0.0</v>
      </c>
      <c r="S312" s="22">
        <v>0.0</v>
      </c>
      <c r="T312" s="24" t="s">
        <v>37</v>
      </c>
      <c r="U312" s="25" t="s">
        <v>226</v>
      </c>
      <c r="V312" s="26" t="s">
        <v>39</v>
      </c>
      <c r="W312" s="65"/>
      <c r="X312" s="54"/>
      <c r="Y312" s="29"/>
    </row>
    <row r="313" ht="15.75" customHeight="1">
      <c r="A313" s="30">
        <v>304.0</v>
      </c>
      <c r="B313" s="31" t="s">
        <v>52</v>
      </c>
      <c r="C313" s="32" t="str">
        <f>HYPERLINK("https://azurlane.koumakan.jp/Honolulu","Honolulu")</f>
        <v>Honolulu</v>
      </c>
      <c r="D313" s="33" t="s">
        <v>36</v>
      </c>
      <c r="E313" s="33">
        <v>3550.0</v>
      </c>
      <c r="F313" s="33">
        <v>166.0</v>
      </c>
      <c r="G313" s="33">
        <v>0.0</v>
      </c>
      <c r="H313" s="33">
        <v>0.0</v>
      </c>
      <c r="I313" s="33">
        <v>313.0</v>
      </c>
      <c r="J313" s="33">
        <v>183.0</v>
      </c>
      <c r="K313" s="33">
        <v>106.0</v>
      </c>
      <c r="L313" s="33" t="s">
        <v>29</v>
      </c>
      <c r="M313" s="33">
        <v>32.0</v>
      </c>
      <c r="N313" s="33">
        <v>162.0</v>
      </c>
      <c r="O313" s="33">
        <v>50.0</v>
      </c>
      <c r="P313" s="33">
        <v>100.0</v>
      </c>
      <c r="Q313" s="33">
        <v>9.0</v>
      </c>
      <c r="R313" s="33">
        <v>0.0</v>
      </c>
      <c r="S313" s="33">
        <v>0.0</v>
      </c>
      <c r="T313" s="35" t="s">
        <v>37</v>
      </c>
      <c r="U313" s="36" t="s">
        <v>227</v>
      </c>
      <c r="V313" s="61" t="s">
        <v>39</v>
      </c>
      <c r="W313" s="102"/>
      <c r="X313" s="53"/>
      <c r="Y313" s="40"/>
    </row>
    <row r="314" ht="15.75" customHeight="1">
      <c r="A314" s="19">
        <v>305.0</v>
      </c>
      <c r="B314" s="20" t="s">
        <v>52</v>
      </c>
      <c r="C314" s="21" t="str">
        <f>HYPERLINK("https://azurlane.koumakan.jp/St._Louis","St. Louis")</f>
        <v>St. Louis</v>
      </c>
      <c r="D314" s="22" t="s">
        <v>28</v>
      </c>
      <c r="E314" s="22">
        <v>3688.0</v>
      </c>
      <c r="F314" s="22">
        <v>174.0</v>
      </c>
      <c r="G314" s="22">
        <v>0.0</v>
      </c>
      <c r="H314" s="22">
        <v>0.0</v>
      </c>
      <c r="I314" s="22">
        <v>323.0</v>
      </c>
      <c r="J314" s="22">
        <v>188.0</v>
      </c>
      <c r="K314" s="22">
        <v>106.0</v>
      </c>
      <c r="L314" s="22" t="s">
        <v>29</v>
      </c>
      <c r="M314" s="22">
        <v>32.0</v>
      </c>
      <c r="N314" s="22">
        <v>170.0</v>
      </c>
      <c r="O314" s="22">
        <v>65.0</v>
      </c>
      <c r="P314" s="22">
        <v>102.0</v>
      </c>
      <c r="Q314" s="22">
        <v>10.0</v>
      </c>
      <c r="R314" s="22">
        <v>0.0</v>
      </c>
      <c r="S314" s="22">
        <v>0.0</v>
      </c>
      <c r="T314" s="24" t="s">
        <v>37</v>
      </c>
      <c r="U314" s="25" t="s">
        <v>228</v>
      </c>
      <c r="V314" s="26" t="s">
        <v>29</v>
      </c>
      <c r="W314" s="27">
        <v>0.052083333333333336</v>
      </c>
      <c r="X314" s="54"/>
      <c r="Y314" s="29"/>
    </row>
    <row r="315" ht="15.75" customHeight="1">
      <c r="A315" s="30">
        <v>306.0</v>
      </c>
      <c r="B315" s="31" t="s">
        <v>27</v>
      </c>
      <c r="C315" s="32" t="str">
        <f>HYPERLINK("https://azurlane.koumakan.jp/Jupiter","Jupiter")</f>
        <v>Jupiter</v>
      </c>
      <c r="D315" s="33" t="s">
        <v>36</v>
      </c>
      <c r="E315" s="33">
        <v>1573.0</v>
      </c>
      <c r="F315" s="33">
        <v>77.0</v>
      </c>
      <c r="G315" s="33">
        <v>369.0</v>
      </c>
      <c r="H315" s="33">
        <v>0.0</v>
      </c>
      <c r="I315" s="33">
        <v>159.0</v>
      </c>
      <c r="J315" s="33">
        <v>204.0</v>
      </c>
      <c r="K315" s="33">
        <v>270.0</v>
      </c>
      <c r="L315" s="33" t="s">
        <v>29</v>
      </c>
      <c r="M315" s="33">
        <v>43.0</v>
      </c>
      <c r="N315" s="33">
        <v>218.0</v>
      </c>
      <c r="O315" s="33">
        <v>52.0</v>
      </c>
      <c r="P315" s="33">
        <v>213.0</v>
      </c>
      <c r="Q315" s="33">
        <v>8.0</v>
      </c>
      <c r="R315" s="33">
        <v>0.0</v>
      </c>
      <c r="S315" s="33">
        <v>0.0</v>
      </c>
      <c r="T315" s="35" t="s">
        <v>104</v>
      </c>
      <c r="U315" s="57"/>
      <c r="V315" s="37" t="s">
        <v>29</v>
      </c>
      <c r="W315" s="62">
        <v>0.01875</v>
      </c>
      <c r="X315" s="39"/>
      <c r="Y315" s="40"/>
    </row>
    <row r="316" ht="15.75" customHeight="1">
      <c r="A316" s="19">
        <v>307.0</v>
      </c>
      <c r="B316" s="20" t="s">
        <v>27</v>
      </c>
      <c r="C316" s="21" t="str">
        <f>HYPERLINK("https://azurlane.koumakan.jp/Jersey","Jersey")</f>
        <v>Jersey</v>
      </c>
      <c r="D316" s="22" t="s">
        <v>36</v>
      </c>
      <c r="E316" s="22">
        <v>1573.0</v>
      </c>
      <c r="F316" s="22">
        <v>77.0</v>
      </c>
      <c r="G316" s="22">
        <v>369.0</v>
      </c>
      <c r="H316" s="22">
        <v>0.0</v>
      </c>
      <c r="I316" s="22">
        <v>159.0</v>
      </c>
      <c r="J316" s="22">
        <v>294.0</v>
      </c>
      <c r="K316" s="22">
        <v>270.0</v>
      </c>
      <c r="L316" s="22" t="s">
        <v>29</v>
      </c>
      <c r="M316" s="22">
        <v>43.0</v>
      </c>
      <c r="N316" s="22">
        <v>218.0</v>
      </c>
      <c r="O316" s="22">
        <v>20.0</v>
      </c>
      <c r="P316" s="22">
        <v>213.0</v>
      </c>
      <c r="Q316" s="22">
        <v>8.0</v>
      </c>
      <c r="R316" s="22">
        <v>0.0</v>
      </c>
      <c r="S316" s="22">
        <v>0.0</v>
      </c>
      <c r="T316" s="24" t="s">
        <v>104</v>
      </c>
      <c r="U316" s="58"/>
      <c r="V316" s="26" t="s">
        <v>29</v>
      </c>
      <c r="W316" s="27">
        <v>0.01875</v>
      </c>
      <c r="X316" s="28" t="s">
        <v>229</v>
      </c>
      <c r="Y316" s="29"/>
    </row>
    <row r="317" ht="15.75" customHeight="1">
      <c r="A317" s="30">
        <v>308.0</v>
      </c>
      <c r="B317" s="31" t="s">
        <v>52</v>
      </c>
      <c r="C317" s="32" t="str">
        <f>HYPERLINK("https://azurlane.koumakan.jp/Sendai","Sendai")</f>
        <v>Sendai</v>
      </c>
      <c r="D317" s="33" t="s">
        <v>36</v>
      </c>
      <c r="E317" s="33">
        <v>2599.0</v>
      </c>
      <c r="F317" s="33">
        <v>152.0</v>
      </c>
      <c r="G317" s="33">
        <v>330.0</v>
      </c>
      <c r="H317" s="33">
        <v>0.0</v>
      </c>
      <c r="I317" s="33">
        <v>282.0</v>
      </c>
      <c r="J317" s="33">
        <v>188.0</v>
      </c>
      <c r="K317" s="33">
        <v>128.0</v>
      </c>
      <c r="L317" s="33" t="s">
        <v>29</v>
      </c>
      <c r="M317" s="33">
        <v>35.0</v>
      </c>
      <c r="N317" s="33">
        <v>156.0</v>
      </c>
      <c r="O317" s="33">
        <v>42.0</v>
      </c>
      <c r="P317" s="33">
        <v>109.0</v>
      </c>
      <c r="Q317" s="33">
        <v>9.0</v>
      </c>
      <c r="R317" s="33">
        <v>0.0</v>
      </c>
      <c r="S317" s="33">
        <v>0.0</v>
      </c>
      <c r="T317" s="35" t="s">
        <v>143</v>
      </c>
      <c r="U317" s="36" t="s">
        <v>230</v>
      </c>
      <c r="V317" s="37" t="s">
        <v>39</v>
      </c>
      <c r="W317" s="102"/>
      <c r="X317" s="53"/>
      <c r="Y317" s="40"/>
    </row>
    <row r="318" ht="15.75" customHeight="1">
      <c r="A318" s="19">
        <v>308.1</v>
      </c>
      <c r="B318" s="20" t="s">
        <v>52</v>
      </c>
      <c r="C318" s="21" t="str">
        <f>HYPERLINK("https://azurlane.koumakan.jp/Sendai#Retrofit","Sendai (R)")</f>
        <v>Sendai (R)</v>
      </c>
      <c r="D318" s="22" t="s">
        <v>28</v>
      </c>
      <c r="E318" s="22">
        <v>2839.0</v>
      </c>
      <c r="F318" s="22">
        <v>172.0</v>
      </c>
      <c r="G318" s="22">
        <v>395.0</v>
      </c>
      <c r="H318" s="22">
        <v>0.0</v>
      </c>
      <c r="I318" s="22">
        <v>282.0</v>
      </c>
      <c r="J318" s="22">
        <v>193.0</v>
      </c>
      <c r="K318" s="22">
        <v>128.0</v>
      </c>
      <c r="L318" s="22" t="s">
        <v>29</v>
      </c>
      <c r="M318" s="22">
        <v>35.0</v>
      </c>
      <c r="N318" s="22">
        <v>156.0</v>
      </c>
      <c r="O318" s="23">
        <v>42.0</v>
      </c>
      <c r="P318" s="22">
        <v>109.0</v>
      </c>
      <c r="Q318" s="22">
        <v>9.0</v>
      </c>
      <c r="R318" s="22">
        <v>0.0</v>
      </c>
      <c r="S318" s="22">
        <v>0.0</v>
      </c>
      <c r="T318" s="24" t="s">
        <v>143</v>
      </c>
      <c r="U318" s="59" t="s">
        <v>42</v>
      </c>
      <c r="W318" s="60"/>
      <c r="X318" s="54"/>
      <c r="Y318" s="29"/>
    </row>
    <row r="319" ht="15.75" customHeight="1">
      <c r="A319" s="30">
        <v>309.0</v>
      </c>
      <c r="B319" s="31" t="s">
        <v>52</v>
      </c>
      <c r="C319" s="32" t="str">
        <f>HYPERLINK("https://azurlane.koumakan.jp/Jintsuu","Jintsuu")</f>
        <v>Jintsuu</v>
      </c>
      <c r="D319" s="33" t="s">
        <v>28</v>
      </c>
      <c r="E319" s="33">
        <v>2676.0</v>
      </c>
      <c r="F319" s="33">
        <v>158.0</v>
      </c>
      <c r="G319" s="33">
        <v>341.0</v>
      </c>
      <c r="H319" s="33">
        <v>0.0</v>
      </c>
      <c r="I319" s="33">
        <v>291.0</v>
      </c>
      <c r="J319" s="33">
        <v>194.0</v>
      </c>
      <c r="K319" s="33">
        <v>128.0</v>
      </c>
      <c r="L319" s="33" t="s">
        <v>29</v>
      </c>
      <c r="M319" s="33">
        <v>35.0</v>
      </c>
      <c r="N319" s="33">
        <v>156.0</v>
      </c>
      <c r="O319" s="33">
        <v>38.0</v>
      </c>
      <c r="P319" s="33">
        <v>101.0</v>
      </c>
      <c r="Q319" s="33">
        <v>10.0</v>
      </c>
      <c r="R319" s="33">
        <v>0.0</v>
      </c>
      <c r="S319" s="33">
        <v>0.0</v>
      </c>
      <c r="T319" s="35" t="s">
        <v>143</v>
      </c>
      <c r="U319" s="36" t="s">
        <v>231</v>
      </c>
      <c r="V319" s="37" t="s">
        <v>39</v>
      </c>
      <c r="W319" s="52"/>
      <c r="X319" s="39" t="s">
        <v>232</v>
      </c>
      <c r="Y319" s="40"/>
    </row>
    <row r="320" ht="15.75" customHeight="1">
      <c r="A320" s="19">
        <v>309.1</v>
      </c>
      <c r="B320" s="20" t="s">
        <v>52</v>
      </c>
      <c r="C320" s="21" t="str">
        <f>HYPERLINK("https://azurlane.koumakan.jp/Jintsuu#Retrofit","Jintsuu (R)")</f>
        <v>Jintsuu (R)</v>
      </c>
      <c r="D320" s="22" t="s">
        <v>32</v>
      </c>
      <c r="E320" s="22">
        <v>2916.0</v>
      </c>
      <c r="F320" s="22">
        <v>178.0</v>
      </c>
      <c r="G320" s="22">
        <v>406.0</v>
      </c>
      <c r="H320" s="22">
        <v>0.0</v>
      </c>
      <c r="I320" s="22">
        <v>306.0</v>
      </c>
      <c r="J320" s="22">
        <v>199.0</v>
      </c>
      <c r="K320" s="22">
        <v>128.0</v>
      </c>
      <c r="L320" s="22" t="s">
        <v>29</v>
      </c>
      <c r="M320" s="22">
        <v>35.0</v>
      </c>
      <c r="N320" s="22">
        <v>156.0</v>
      </c>
      <c r="O320" s="23">
        <v>38.0</v>
      </c>
      <c r="P320" s="22">
        <v>101.0</v>
      </c>
      <c r="Q320" s="22">
        <v>10.0</v>
      </c>
      <c r="R320" s="22">
        <v>0.0</v>
      </c>
      <c r="S320" s="22">
        <v>0.0</v>
      </c>
      <c r="T320" s="24" t="s">
        <v>143</v>
      </c>
      <c r="U320" s="59" t="s">
        <v>42</v>
      </c>
      <c r="W320" s="60"/>
      <c r="X320" s="28" t="s">
        <v>233</v>
      </c>
      <c r="Y320" s="29"/>
    </row>
    <row r="321" ht="15.75" customHeight="1">
      <c r="A321" s="30">
        <v>310.0</v>
      </c>
      <c r="B321" s="31" t="s">
        <v>52</v>
      </c>
      <c r="C321" s="32" t="str">
        <f>HYPERLINK("https://azurlane.koumakan.jp/Naka","Naka")</f>
        <v>Naka</v>
      </c>
      <c r="D321" s="33" t="s">
        <v>36</v>
      </c>
      <c r="E321" s="33">
        <v>2599.0</v>
      </c>
      <c r="F321" s="33">
        <v>153.0</v>
      </c>
      <c r="G321" s="33">
        <v>341.0</v>
      </c>
      <c r="H321" s="33">
        <v>0.0</v>
      </c>
      <c r="I321" s="33">
        <v>292.0</v>
      </c>
      <c r="J321" s="33">
        <v>188.0</v>
      </c>
      <c r="K321" s="33">
        <v>128.0</v>
      </c>
      <c r="L321" s="33" t="s">
        <v>29</v>
      </c>
      <c r="M321" s="33">
        <v>35.0</v>
      </c>
      <c r="N321" s="33">
        <v>156.0</v>
      </c>
      <c r="O321" s="33">
        <v>53.0</v>
      </c>
      <c r="P321" s="33">
        <v>105.0</v>
      </c>
      <c r="Q321" s="33">
        <v>9.0</v>
      </c>
      <c r="R321" s="33">
        <v>0.0</v>
      </c>
      <c r="S321" s="33">
        <v>0.0</v>
      </c>
      <c r="T321" s="35" t="s">
        <v>143</v>
      </c>
      <c r="U321" s="57"/>
      <c r="V321" s="37" t="s">
        <v>76</v>
      </c>
      <c r="W321" s="38">
        <v>0.05555555555555555</v>
      </c>
      <c r="X321" s="39" t="s">
        <v>169</v>
      </c>
      <c r="Y321" s="40"/>
    </row>
    <row r="322" ht="15.75" customHeight="1">
      <c r="A322" s="19">
        <v>316.0</v>
      </c>
      <c r="B322" s="20" t="s">
        <v>27</v>
      </c>
      <c r="C322" s="21" t="str">
        <f>HYPERLINK("https://azurlane.koumakan.jp/Urakaze","Urakaze")</f>
        <v>Urakaze</v>
      </c>
      <c r="D322" s="22" t="s">
        <v>36</v>
      </c>
      <c r="E322" s="22">
        <v>2133.0</v>
      </c>
      <c r="F322" s="22">
        <v>64.0</v>
      </c>
      <c r="G322" s="22">
        <v>508.0</v>
      </c>
      <c r="H322" s="22">
        <v>0.0</v>
      </c>
      <c r="I322" s="22">
        <v>152.0</v>
      </c>
      <c r="J322" s="22">
        <v>204.0</v>
      </c>
      <c r="K322" s="22">
        <v>246.0</v>
      </c>
      <c r="L322" s="22" t="s">
        <v>29</v>
      </c>
      <c r="M322" s="22">
        <v>42.0</v>
      </c>
      <c r="N322" s="22">
        <v>206.0</v>
      </c>
      <c r="O322" s="22">
        <v>27.0</v>
      </c>
      <c r="P322" s="22">
        <v>168.0</v>
      </c>
      <c r="Q322" s="22">
        <v>8.0</v>
      </c>
      <c r="R322" s="22">
        <v>0.0</v>
      </c>
      <c r="S322" s="22">
        <v>0.0</v>
      </c>
      <c r="T322" s="24" t="s">
        <v>143</v>
      </c>
      <c r="U322" s="58"/>
      <c r="V322" s="26" t="s">
        <v>29</v>
      </c>
      <c r="W322" s="27">
        <v>0.01875</v>
      </c>
      <c r="X322" s="28" t="s">
        <v>234</v>
      </c>
      <c r="Y322" s="29"/>
    </row>
    <row r="323" ht="15.75" customHeight="1">
      <c r="A323" s="30">
        <v>317.0</v>
      </c>
      <c r="B323" s="31" t="s">
        <v>27</v>
      </c>
      <c r="C323" s="32" t="str">
        <f>HYPERLINK("https://azurlane.koumakan.jp/Isokaze","Isokaze")</f>
        <v>Isokaze</v>
      </c>
      <c r="D323" s="33" t="s">
        <v>36</v>
      </c>
      <c r="E323" s="33">
        <v>2133.0</v>
      </c>
      <c r="F323" s="33">
        <v>66.0</v>
      </c>
      <c r="G323" s="33">
        <v>508.0</v>
      </c>
      <c r="H323" s="33">
        <v>0.0</v>
      </c>
      <c r="I323" s="33">
        <v>152.0</v>
      </c>
      <c r="J323" s="33">
        <v>204.0</v>
      </c>
      <c r="K323" s="33">
        <v>246.0</v>
      </c>
      <c r="L323" s="33" t="s">
        <v>29</v>
      </c>
      <c r="M323" s="33">
        <v>42.0</v>
      </c>
      <c r="N323" s="33">
        <v>206.0</v>
      </c>
      <c r="O323" s="33">
        <v>18.0</v>
      </c>
      <c r="P323" s="33">
        <v>201.0</v>
      </c>
      <c r="Q323" s="33">
        <v>8.0</v>
      </c>
      <c r="R323" s="33">
        <v>0.0</v>
      </c>
      <c r="S323" s="33">
        <v>0.0</v>
      </c>
      <c r="T323" s="35" t="s">
        <v>143</v>
      </c>
      <c r="U323" s="57"/>
      <c r="V323" s="37" t="s">
        <v>29</v>
      </c>
      <c r="W323" s="38">
        <v>0.01875</v>
      </c>
      <c r="X323" s="39" t="s">
        <v>234</v>
      </c>
      <c r="Y323" s="40"/>
    </row>
    <row r="324" ht="15.75" customHeight="1">
      <c r="A324" s="19">
        <v>318.0</v>
      </c>
      <c r="B324" s="20" t="s">
        <v>27</v>
      </c>
      <c r="C324" s="21" t="str">
        <f>HYPERLINK("https://azurlane.koumakan.jp/Hamakaze","Hamakaze")</f>
        <v>Hamakaze</v>
      </c>
      <c r="D324" s="22" t="s">
        <v>36</v>
      </c>
      <c r="E324" s="22">
        <v>2133.0</v>
      </c>
      <c r="F324" s="22">
        <v>66.0</v>
      </c>
      <c r="G324" s="22">
        <v>518.0</v>
      </c>
      <c r="H324" s="22">
        <v>0.0</v>
      </c>
      <c r="I324" s="22">
        <v>153.0</v>
      </c>
      <c r="J324" s="22">
        <v>204.0</v>
      </c>
      <c r="K324" s="22">
        <v>246.0</v>
      </c>
      <c r="L324" s="22" t="s">
        <v>29</v>
      </c>
      <c r="M324" s="22">
        <v>42.0</v>
      </c>
      <c r="N324" s="22">
        <v>207.0</v>
      </c>
      <c r="O324" s="22">
        <v>58.0</v>
      </c>
      <c r="P324" s="22">
        <v>190.0</v>
      </c>
      <c r="Q324" s="22">
        <v>8.0</v>
      </c>
      <c r="R324" s="22">
        <v>0.0</v>
      </c>
      <c r="S324" s="22">
        <v>0.0</v>
      </c>
      <c r="T324" s="24" t="s">
        <v>143</v>
      </c>
      <c r="U324" s="58"/>
      <c r="V324" s="26" t="s">
        <v>76</v>
      </c>
      <c r="W324" s="27">
        <v>0.01875</v>
      </c>
      <c r="X324" s="28" t="s">
        <v>159</v>
      </c>
      <c r="Y324" s="29"/>
    </row>
    <row r="325" ht="15.75" customHeight="1">
      <c r="A325" s="30">
        <v>318.1</v>
      </c>
      <c r="B325" s="31" t="s">
        <v>27</v>
      </c>
      <c r="C325" s="32" t="str">
        <f>HYPERLINK("https://azurlane.koumakan.jp/Hamakaze#Retrofit","Hamakaze (R)")</f>
        <v>Hamakaze (R)</v>
      </c>
      <c r="D325" s="33" t="s">
        <v>28</v>
      </c>
      <c r="E325" s="33">
        <v>2193.0</v>
      </c>
      <c r="F325" s="33">
        <v>76.0</v>
      </c>
      <c r="G325" s="33">
        <v>578.0</v>
      </c>
      <c r="H325" s="33">
        <v>0.0</v>
      </c>
      <c r="I325" s="33">
        <v>153.0</v>
      </c>
      <c r="J325" s="33">
        <v>204.0</v>
      </c>
      <c r="K325" s="33">
        <v>266.0</v>
      </c>
      <c r="L325" s="33" t="s">
        <v>29</v>
      </c>
      <c r="M325" s="33">
        <v>45.0</v>
      </c>
      <c r="N325" s="33">
        <v>207.0</v>
      </c>
      <c r="O325" s="34">
        <v>58.0</v>
      </c>
      <c r="P325" s="33">
        <v>190.0</v>
      </c>
      <c r="Q325" s="33">
        <v>8.0</v>
      </c>
      <c r="R325" s="33">
        <v>0.0</v>
      </c>
      <c r="S325" s="33">
        <v>0.0</v>
      </c>
      <c r="T325" s="35" t="s">
        <v>143</v>
      </c>
      <c r="U325" s="55" t="s">
        <v>42</v>
      </c>
      <c r="W325" s="56"/>
      <c r="X325" s="53"/>
      <c r="Y325" s="40"/>
    </row>
    <row r="326" ht="15.75" customHeight="1">
      <c r="A326" s="19">
        <v>319.0</v>
      </c>
      <c r="B326" s="20" t="s">
        <v>27</v>
      </c>
      <c r="C326" s="21" t="str">
        <f>HYPERLINK("https://azurlane.koumakan.jp/Tanikaze","Tanikaze")</f>
        <v>Tanikaze</v>
      </c>
      <c r="D326" s="22" t="s">
        <v>36</v>
      </c>
      <c r="E326" s="22">
        <v>2133.0</v>
      </c>
      <c r="F326" s="22">
        <v>66.0</v>
      </c>
      <c r="G326" s="22">
        <v>518.0</v>
      </c>
      <c r="H326" s="22">
        <v>0.0</v>
      </c>
      <c r="I326" s="22">
        <v>157.0</v>
      </c>
      <c r="J326" s="22">
        <v>199.0</v>
      </c>
      <c r="K326" s="22">
        <v>246.0</v>
      </c>
      <c r="L326" s="22" t="s">
        <v>29</v>
      </c>
      <c r="M326" s="22">
        <v>42.0</v>
      </c>
      <c r="N326" s="22">
        <v>207.0</v>
      </c>
      <c r="O326" s="22">
        <v>52.0</v>
      </c>
      <c r="P326" s="22">
        <v>168.0</v>
      </c>
      <c r="Q326" s="22">
        <v>8.0</v>
      </c>
      <c r="R326" s="22">
        <v>0.0</v>
      </c>
      <c r="S326" s="22">
        <v>0.0</v>
      </c>
      <c r="T326" s="24" t="s">
        <v>143</v>
      </c>
      <c r="U326" s="58"/>
      <c r="V326" s="26" t="s">
        <v>29</v>
      </c>
      <c r="W326" s="27">
        <v>0.01875</v>
      </c>
      <c r="X326" s="54"/>
      <c r="Y326" s="29"/>
    </row>
    <row r="327" ht="15.75" customHeight="1">
      <c r="A327" s="30">
        <v>319.1</v>
      </c>
      <c r="B327" s="31" t="s">
        <v>27</v>
      </c>
      <c r="C327" s="32" t="str">
        <f>HYPERLINK("https://azurlane.koumakan.jp/Tanikaze#Retrofit","Tanikaze (R)")</f>
        <v>Tanikaze (R)</v>
      </c>
      <c r="D327" s="33" t="s">
        <v>28</v>
      </c>
      <c r="E327" s="33">
        <v>2193.0</v>
      </c>
      <c r="F327" s="33">
        <v>76.0</v>
      </c>
      <c r="G327" s="33">
        <v>578.0</v>
      </c>
      <c r="H327" s="33">
        <v>0.0</v>
      </c>
      <c r="I327" s="33">
        <v>157.0</v>
      </c>
      <c r="J327" s="33">
        <v>199.0</v>
      </c>
      <c r="K327" s="33">
        <v>266.0</v>
      </c>
      <c r="L327" s="33" t="s">
        <v>29</v>
      </c>
      <c r="M327" s="33">
        <v>45.0</v>
      </c>
      <c r="N327" s="33">
        <v>207.0</v>
      </c>
      <c r="O327" s="34">
        <v>52.0</v>
      </c>
      <c r="P327" s="33">
        <v>168.0</v>
      </c>
      <c r="Q327" s="33">
        <v>8.0</v>
      </c>
      <c r="R327" s="33">
        <v>0.0</v>
      </c>
      <c r="S327" s="33">
        <v>0.0</v>
      </c>
      <c r="T327" s="35" t="s">
        <v>143</v>
      </c>
      <c r="U327" s="55" t="s">
        <v>42</v>
      </c>
      <c r="W327" s="56"/>
      <c r="X327" s="53"/>
      <c r="Y327" s="40"/>
    </row>
    <row r="328" ht="15.75" customHeight="1">
      <c r="A328" s="19">
        <v>320.0</v>
      </c>
      <c r="B328" s="20" t="s">
        <v>82</v>
      </c>
      <c r="C328" s="21" t="str">
        <f>HYPERLINK("https://azurlane.koumakan.jp/Mikasa","Mikasa")</f>
        <v>Mikasa</v>
      </c>
      <c r="D328" s="22" t="s">
        <v>32</v>
      </c>
      <c r="E328" s="22">
        <v>5501.0</v>
      </c>
      <c r="F328" s="22">
        <v>339.0</v>
      </c>
      <c r="G328" s="22">
        <v>0.0</v>
      </c>
      <c r="H328" s="22">
        <v>0.0</v>
      </c>
      <c r="I328" s="22">
        <v>176.0</v>
      </c>
      <c r="J328" s="22">
        <v>166.0</v>
      </c>
      <c r="K328" s="22">
        <v>26.0</v>
      </c>
      <c r="L328" s="22" t="s">
        <v>83</v>
      </c>
      <c r="M328" s="22">
        <v>18.0</v>
      </c>
      <c r="N328" s="22">
        <v>74.0</v>
      </c>
      <c r="O328" s="22">
        <v>95.0</v>
      </c>
      <c r="P328" s="22">
        <v>0.0</v>
      </c>
      <c r="Q328" s="22">
        <v>14.0</v>
      </c>
      <c r="R328" s="22">
        <v>0.0</v>
      </c>
      <c r="S328" s="22">
        <v>0.0</v>
      </c>
      <c r="T328" s="24" t="s">
        <v>143</v>
      </c>
      <c r="U328" s="58"/>
      <c r="V328" s="26" t="s">
        <v>76</v>
      </c>
      <c r="W328" s="27">
        <v>0.14583333333333334</v>
      </c>
      <c r="X328" s="28" t="s">
        <v>159</v>
      </c>
      <c r="Y328" s="29"/>
    </row>
    <row r="329" ht="15.75" customHeight="1">
      <c r="A329" s="30">
        <v>321.0</v>
      </c>
      <c r="B329" s="31" t="s">
        <v>52</v>
      </c>
      <c r="C329" s="32" t="str">
        <f>HYPERLINK("https://azurlane.koumakan.jp/Agano","Agano")</f>
        <v>Agano</v>
      </c>
      <c r="D329" s="33" t="s">
        <v>28</v>
      </c>
      <c r="E329" s="33">
        <v>3233.0</v>
      </c>
      <c r="F329" s="33">
        <v>150.0</v>
      </c>
      <c r="G329" s="33">
        <v>358.0</v>
      </c>
      <c r="H329" s="33">
        <v>0.0</v>
      </c>
      <c r="I329" s="33">
        <v>330.0</v>
      </c>
      <c r="J329" s="33">
        <v>171.0</v>
      </c>
      <c r="K329" s="33">
        <v>123.0</v>
      </c>
      <c r="L329" s="33" t="s">
        <v>29</v>
      </c>
      <c r="M329" s="33">
        <v>35.0</v>
      </c>
      <c r="N329" s="33">
        <v>152.0</v>
      </c>
      <c r="O329" s="33">
        <v>21.0</v>
      </c>
      <c r="P329" s="33">
        <v>80.0</v>
      </c>
      <c r="Q329" s="33">
        <v>10.0</v>
      </c>
      <c r="R329" s="33">
        <v>0.0</v>
      </c>
      <c r="S329" s="33">
        <v>0.0</v>
      </c>
      <c r="T329" s="35" t="s">
        <v>143</v>
      </c>
      <c r="U329" s="36" t="s">
        <v>235</v>
      </c>
      <c r="V329" s="37" t="s">
        <v>39</v>
      </c>
      <c r="W329" s="52"/>
      <c r="X329" s="53"/>
      <c r="Y329" s="40"/>
    </row>
    <row r="330" ht="15.75" customHeight="1">
      <c r="A330" s="41">
        <v>322.0</v>
      </c>
      <c r="B330" s="42" t="s">
        <v>52</v>
      </c>
      <c r="C330" s="43" t="str">
        <f>HYPERLINK("https://azurlane.koumakan.jp/Noshiro","Noshiro")</f>
        <v>Noshiro</v>
      </c>
      <c r="D330" s="24" t="s">
        <v>32</v>
      </c>
      <c r="E330" s="24">
        <v>3354.0</v>
      </c>
      <c r="F330" s="24">
        <v>177.0</v>
      </c>
      <c r="G330" s="24">
        <v>378.0</v>
      </c>
      <c r="H330" s="24">
        <v>0.0</v>
      </c>
      <c r="I330" s="24">
        <v>341.0</v>
      </c>
      <c r="J330" s="24">
        <v>183.0</v>
      </c>
      <c r="K330" s="24">
        <v>123.0</v>
      </c>
      <c r="L330" s="24" t="s">
        <v>29</v>
      </c>
      <c r="M330" s="24">
        <v>35.0</v>
      </c>
      <c r="N330" s="24">
        <v>176.0</v>
      </c>
      <c r="O330" s="24">
        <v>55.0</v>
      </c>
      <c r="P330" s="24">
        <v>99.0</v>
      </c>
      <c r="Q330" s="24">
        <v>11.0</v>
      </c>
      <c r="R330" s="24">
        <v>0.0</v>
      </c>
      <c r="S330" s="24">
        <v>0.0</v>
      </c>
      <c r="T330" s="24" t="s">
        <v>143</v>
      </c>
      <c r="U330" s="45"/>
      <c r="V330" s="24" t="s">
        <v>76</v>
      </c>
      <c r="W330" s="66">
        <v>0.05555555555555555</v>
      </c>
      <c r="X330" s="67" t="s">
        <v>236</v>
      </c>
      <c r="Y330" s="48"/>
    </row>
    <row r="331" ht="15.75" customHeight="1">
      <c r="A331" s="30">
        <v>325.0</v>
      </c>
      <c r="B331" s="31" t="s">
        <v>27</v>
      </c>
      <c r="C331" s="32" t="str">
        <f>HYPERLINK("https://azurlane.koumakan.jp/Matchless","Matchless")</f>
        <v>Matchless</v>
      </c>
      <c r="D331" s="33" t="s">
        <v>28</v>
      </c>
      <c r="E331" s="33">
        <v>1724.0</v>
      </c>
      <c r="F331" s="33">
        <v>77.0</v>
      </c>
      <c r="G331" s="33">
        <v>399.0</v>
      </c>
      <c r="H331" s="33">
        <v>0.0</v>
      </c>
      <c r="I331" s="33">
        <v>160.0</v>
      </c>
      <c r="J331" s="33">
        <v>204.0</v>
      </c>
      <c r="K331" s="33">
        <v>270.0</v>
      </c>
      <c r="L331" s="33" t="s">
        <v>29</v>
      </c>
      <c r="M331" s="33">
        <v>43.0</v>
      </c>
      <c r="N331" s="33">
        <v>203.0</v>
      </c>
      <c r="O331" s="33">
        <v>76.0</v>
      </c>
      <c r="P331" s="33">
        <v>226.0</v>
      </c>
      <c r="Q331" s="33">
        <v>9.0</v>
      </c>
      <c r="R331" s="33">
        <v>0.0</v>
      </c>
      <c r="S331" s="33">
        <v>0.0</v>
      </c>
      <c r="T331" s="35" t="s">
        <v>104</v>
      </c>
      <c r="U331" s="57"/>
      <c r="V331" s="37" t="s">
        <v>76</v>
      </c>
      <c r="W331" s="38">
        <v>0.02013888888888889</v>
      </c>
      <c r="X331" s="39" t="s">
        <v>138</v>
      </c>
      <c r="Y331" s="40"/>
    </row>
    <row r="332" ht="15.75" customHeight="1">
      <c r="A332" s="19">
        <v>326.0</v>
      </c>
      <c r="B332" s="20" t="s">
        <v>27</v>
      </c>
      <c r="C332" s="21" t="str">
        <f>HYPERLINK("https://azurlane.koumakan.jp/Musketeer","Musketeer")</f>
        <v>Musketeer</v>
      </c>
      <c r="D332" s="22" t="s">
        <v>28</v>
      </c>
      <c r="E332" s="22">
        <v>1724.0</v>
      </c>
      <c r="F332" s="22">
        <v>77.0</v>
      </c>
      <c r="G332" s="22">
        <v>405.0</v>
      </c>
      <c r="H332" s="22">
        <v>0.0</v>
      </c>
      <c r="I332" s="22">
        <v>160.0</v>
      </c>
      <c r="J332" s="22">
        <v>204.0</v>
      </c>
      <c r="K332" s="22">
        <v>270.0</v>
      </c>
      <c r="L332" s="22" t="s">
        <v>29</v>
      </c>
      <c r="M332" s="22">
        <v>43.0</v>
      </c>
      <c r="N332" s="22">
        <v>200.0</v>
      </c>
      <c r="O332" s="22">
        <v>67.0</v>
      </c>
      <c r="P332" s="22">
        <v>226.0</v>
      </c>
      <c r="Q332" s="22">
        <v>9.0</v>
      </c>
      <c r="R332" s="22">
        <v>0.0</v>
      </c>
      <c r="S332" s="22">
        <v>0.0</v>
      </c>
      <c r="T332" s="24" t="s">
        <v>104</v>
      </c>
      <c r="U332" s="58"/>
      <c r="V332" s="75" t="s">
        <v>76</v>
      </c>
      <c r="W332" s="98"/>
      <c r="X332" s="28" t="s">
        <v>237</v>
      </c>
      <c r="Y332" s="29"/>
    </row>
    <row r="333" ht="15.75" customHeight="1">
      <c r="A333" s="30">
        <v>327.0</v>
      </c>
      <c r="B333" s="31" t="s">
        <v>52</v>
      </c>
      <c r="C333" s="32" t="str">
        <f>HYPERLINK("https://azurlane.koumakan.jp/Fiji","Fiji")</f>
        <v>Fiji</v>
      </c>
      <c r="D333" s="33" t="s">
        <v>36</v>
      </c>
      <c r="E333" s="33">
        <v>3670.0</v>
      </c>
      <c r="F333" s="33">
        <v>161.0</v>
      </c>
      <c r="G333" s="33">
        <v>272.0</v>
      </c>
      <c r="H333" s="33">
        <v>0.0</v>
      </c>
      <c r="I333" s="33">
        <v>261.0</v>
      </c>
      <c r="J333" s="33">
        <v>185.0</v>
      </c>
      <c r="K333" s="33">
        <v>119.0</v>
      </c>
      <c r="L333" s="33" t="s">
        <v>29</v>
      </c>
      <c r="M333" s="33">
        <v>32.0</v>
      </c>
      <c r="N333" s="33">
        <v>176.0</v>
      </c>
      <c r="O333" s="33">
        <v>11.0</v>
      </c>
      <c r="P333" s="33">
        <v>119.0</v>
      </c>
      <c r="Q333" s="33">
        <v>9.0</v>
      </c>
      <c r="R333" s="33">
        <v>0.0</v>
      </c>
      <c r="S333" s="33">
        <v>0.0</v>
      </c>
      <c r="T333" s="35" t="s">
        <v>104</v>
      </c>
      <c r="U333" s="57"/>
      <c r="V333" s="37" t="s">
        <v>85</v>
      </c>
      <c r="W333" s="52"/>
      <c r="X333" s="39" t="s">
        <v>238</v>
      </c>
      <c r="Y333" s="40"/>
    </row>
    <row r="334" ht="15.75" customHeight="1">
      <c r="A334" s="19">
        <v>328.0</v>
      </c>
      <c r="B334" s="20" t="s">
        <v>52</v>
      </c>
      <c r="C334" s="21" t="str">
        <f>HYPERLINK("https://azurlane.koumakan.jp/Jamaica","Jamaica")</f>
        <v>Jamaica</v>
      </c>
      <c r="D334" s="22" t="s">
        <v>36</v>
      </c>
      <c r="E334" s="22">
        <v>3721.0</v>
      </c>
      <c r="F334" s="22">
        <v>160.0</v>
      </c>
      <c r="G334" s="22">
        <v>272.0</v>
      </c>
      <c r="H334" s="22">
        <v>0.0</v>
      </c>
      <c r="I334" s="22">
        <v>336.0</v>
      </c>
      <c r="J334" s="22">
        <v>185.0</v>
      </c>
      <c r="K334" s="22">
        <v>119.0</v>
      </c>
      <c r="L334" s="22" t="s">
        <v>29</v>
      </c>
      <c r="M334" s="22">
        <v>32.0</v>
      </c>
      <c r="N334" s="22">
        <v>175.0</v>
      </c>
      <c r="O334" s="22">
        <v>67.0</v>
      </c>
      <c r="P334" s="22">
        <v>125.0</v>
      </c>
      <c r="Q334" s="22">
        <v>9.0</v>
      </c>
      <c r="R334" s="22">
        <v>0.0</v>
      </c>
      <c r="S334" s="22">
        <v>0.0</v>
      </c>
      <c r="T334" s="24" t="s">
        <v>104</v>
      </c>
      <c r="U334" s="58"/>
      <c r="V334" s="75" t="s">
        <v>29</v>
      </c>
      <c r="W334" s="76">
        <v>0.05694444444444444</v>
      </c>
      <c r="X334" s="28" t="s">
        <v>239</v>
      </c>
      <c r="Y334" s="29"/>
    </row>
    <row r="335" ht="15.75" customHeight="1">
      <c r="A335" s="30">
        <v>329.0</v>
      </c>
      <c r="B335" s="31" t="s">
        <v>52</v>
      </c>
      <c r="C335" s="32" t="str">
        <f>HYPERLINK("https://azurlane.koumakan.jp/Montpelier","Montpelier")</f>
        <v>Montpelier</v>
      </c>
      <c r="D335" s="33" t="s">
        <v>32</v>
      </c>
      <c r="E335" s="33">
        <v>4461.0</v>
      </c>
      <c r="F335" s="33">
        <v>172.0</v>
      </c>
      <c r="G335" s="33">
        <v>0.0</v>
      </c>
      <c r="H335" s="33">
        <v>0.0</v>
      </c>
      <c r="I335" s="33">
        <v>341.0</v>
      </c>
      <c r="J335" s="33">
        <v>196.0</v>
      </c>
      <c r="K335" s="33">
        <v>109.0</v>
      </c>
      <c r="L335" s="33" t="s">
        <v>29</v>
      </c>
      <c r="M335" s="33">
        <v>32.0</v>
      </c>
      <c r="N335" s="33">
        <v>168.0</v>
      </c>
      <c r="O335" s="33">
        <v>72.0</v>
      </c>
      <c r="P335" s="33">
        <v>105.0</v>
      </c>
      <c r="Q335" s="33">
        <v>11.0</v>
      </c>
      <c r="R335" s="33">
        <v>0.0</v>
      </c>
      <c r="S335" s="33">
        <v>0.0</v>
      </c>
      <c r="T335" s="35" t="s">
        <v>37</v>
      </c>
      <c r="U335" s="57"/>
      <c r="V335" s="37" t="s">
        <v>29</v>
      </c>
      <c r="W335" s="38">
        <v>0.059027777777777776</v>
      </c>
      <c r="X335" s="53"/>
      <c r="Y335" s="40"/>
    </row>
    <row r="336" ht="15.75" customHeight="1">
      <c r="A336" s="19">
        <v>330.0</v>
      </c>
      <c r="B336" s="20" t="s">
        <v>52</v>
      </c>
      <c r="C336" s="21" t="str">
        <f>HYPERLINK("https://azurlane.koumakan.jp/Denver","Denver")</f>
        <v>Denver</v>
      </c>
      <c r="D336" s="22" t="s">
        <v>28</v>
      </c>
      <c r="E336" s="22">
        <v>4406.0</v>
      </c>
      <c r="F336" s="22">
        <v>159.0</v>
      </c>
      <c r="G336" s="22">
        <v>0.0</v>
      </c>
      <c r="H336" s="22">
        <v>0.0</v>
      </c>
      <c r="I336" s="22">
        <v>328.0</v>
      </c>
      <c r="J336" s="22">
        <v>188.0</v>
      </c>
      <c r="K336" s="22">
        <v>109.0</v>
      </c>
      <c r="L336" s="22" t="s">
        <v>29</v>
      </c>
      <c r="M336" s="22">
        <v>32.0</v>
      </c>
      <c r="N336" s="22">
        <v>165.0</v>
      </c>
      <c r="O336" s="22">
        <v>69.0</v>
      </c>
      <c r="P336" s="22">
        <v>102.0</v>
      </c>
      <c r="Q336" s="22">
        <v>10.0</v>
      </c>
      <c r="R336" s="22">
        <v>0.0</v>
      </c>
      <c r="S336" s="22">
        <v>0.0</v>
      </c>
      <c r="T336" s="24" t="s">
        <v>37</v>
      </c>
      <c r="U336" s="58"/>
      <c r="V336" s="75" t="s">
        <v>29</v>
      </c>
      <c r="W336" s="76">
        <v>0.059027777777777776</v>
      </c>
      <c r="X336" s="54"/>
      <c r="Y336" s="29"/>
    </row>
    <row r="337" ht="15.75" customHeight="1">
      <c r="A337" s="30">
        <v>331.0</v>
      </c>
      <c r="B337" s="31" t="s">
        <v>27</v>
      </c>
      <c r="C337" s="32" t="str">
        <f>HYPERLINK("https://azurlane.koumakan.jp/Asashio","Asashio")</f>
        <v>Asashio</v>
      </c>
      <c r="D337" s="33" t="s">
        <v>36</v>
      </c>
      <c r="E337" s="33">
        <v>1984.0</v>
      </c>
      <c r="F337" s="33">
        <v>63.0</v>
      </c>
      <c r="G337" s="33">
        <v>514.0</v>
      </c>
      <c r="H337" s="33">
        <v>0.0</v>
      </c>
      <c r="I337" s="33">
        <v>152.0</v>
      </c>
      <c r="J337" s="33">
        <v>199.0</v>
      </c>
      <c r="K337" s="33">
        <v>246.0</v>
      </c>
      <c r="L337" s="33" t="s">
        <v>29</v>
      </c>
      <c r="M337" s="33">
        <v>42.0</v>
      </c>
      <c r="N337" s="33">
        <v>205.0</v>
      </c>
      <c r="O337" s="33">
        <v>32.0</v>
      </c>
      <c r="P337" s="33">
        <v>192.0</v>
      </c>
      <c r="Q337" s="33">
        <v>8.0</v>
      </c>
      <c r="R337" s="33">
        <v>0.0</v>
      </c>
      <c r="S337" s="33">
        <v>0.0</v>
      </c>
      <c r="T337" s="35" t="s">
        <v>143</v>
      </c>
      <c r="U337" s="57"/>
      <c r="V337" s="37" t="s">
        <v>76</v>
      </c>
      <c r="W337" s="38">
        <v>0.019444444444444445</v>
      </c>
      <c r="X337" s="39" t="s">
        <v>218</v>
      </c>
      <c r="Y337" s="40"/>
    </row>
    <row r="338" ht="15.75" customHeight="1">
      <c r="A338" s="19">
        <v>332.0</v>
      </c>
      <c r="B338" s="20" t="s">
        <v>27</v>
      </c>
      <c r="C338" s="21" t="str">
        <f>HYPERLINK("https://azurlane.koumakan.jp/Ooshio","Ooshio")</f>
        <v>Ooshio</v>
      </c>
      <c r="D338" s="22" t="s">
        <v>36</v>
      </c>
      <c r="E338" s="22">
        <v>1984.0</v>
      </c>
      <c r="F338" s="22">
        <v>63.0</v>
      </c>
      <c r="G338" s="22">
        <v>515.0</v>
      </c>
      <c r="H338" s="22">
        <v>0.0</v>
      </c>
      <c r="I338" s="22">
        <v>153.0</v>
      </c>
      <c r="J338" s="22">
        <v>199.0</v>
      </c>
      <c r="K338" s="22">
        <v>246.0</v>
      </c>
      <c r="L338" s="22" t="s">
        <v>29</v>
      </c>
      <c r="M338" s="22">
        <v>42.0</v>
      </c>
      <c r="N338" s="22">
        <v>206.0</v>
      </c>
      <c r="O338" s="22">
        <v>40.0</v>
      </c>
      <c r="P338" s="22">
        <v>174.0</v>
      </c>
      <c r="Q338" s="22">
        <v>8.0</v>
      </c>
      <c r="R338" s="22">
        <v>0.0</v>
      </c>
      <c r="S338" s="22">
        <v>0.0</v>
      </c>
      <c r="T338" s="24" t="s">
        <v>143</v>
      </c>
      <c r="U338" s="58"/>
      <c r="V338" s="75" t="s">
        <v>29</v>
      </c>
      <c r="W338" s="76">
        <v>0.019444444444444445</v>
      </c>
      <c r="X338" s="28" t="s">
        <v>240</v>
      </c>
      <c r="Y338" s="29"/>
    </row>
    <row r="339" ht="15.75" customHeight="1">
      <c r="A339" s="30">
        <v>333.0</v>
      </c>
      <c r="B339" s="31" t="s">
        <v>27</v>
      </c>
      <c r="C339" s="32" t="str">
        <f>HYPERLINK("https://azurlane.koumakan.jp/Michishio","Michishio")</f>
        <v>Michishio</v>
      </c>
      <c r="D339" s="33" t="s">
        <v>36</v>
      </c>
      <c r="E339" s="33">
        <v>2012.0</v>
      </c>
      <c r="F339" s="33">
        <v>63.0</v>
      </c>
      <c r="G339" s="33">
        <v>516.0</v>
      </c>
      <c r="H339" s="33">
        <v>0.0</v>
      </c>
      <c r="I339" s="33">
        <v>153.0</v>
      </c>
      <c r="J339" s="33">
        <v>199.0</v>
      </c>
      <c r="K339" s="33">
        <v>246.0</v>
      </c>
      <c r="L339" s="33" t="s">
        <v>29</v>
      </c>
      <c r="M339" s="33">
        <v>42.0</v>
      </c>
      <c r="N339" s="33">
        <v>207.0</v>
      </c>
      <c r="O339" s="33">
        <v>48.0</v>
      </c>
      <c r="P339" s="33">
        <v>192.0</v>
      </c>
      <c r="Q339" s="33">
        <v>8.0</v>
      </c>
      <c r="R339" s="33">
        <v>0.0</v>
      </c>
      <c r="S339" s="33">
        <v>0.0</v>
      </c>
      <c r="T339" s="35" t="s">
        <v>143</v>
      </c>
      <c r="U339" s="57"/>
      <c r="V339" s="37" t="s">
        <v>219</v>
      </c>
      <c r="W339" s="52"/>
      <c r="X339" s="39" t="s">
        <v>156</v>
      </c>
      <c r="Y339" s="40"/>
    </row>
    <row r="340">
      <c r="A340" s="19">
        <v>334.0</v>
      </c>
      <c r="B340" s="20" t="s">
        <v>27</v>
      </c>
      <c r="C340" s="21" t="str">
        <f>HYPERLINK("https://azurlane.koumakan.jp/Arashio","Arashio")</f>
        <v>Arashio</v>
      </c>
      <c r="D340" s="22" t="s">
        <v>36</v>
      </c>
      <c r="E340" s="22">
        <v>1984.0</v>
      </c>
      <c r="F340" s="22">
        <v>63.0</v>
      </c>
      <c r="G340" s="22">
        <v>515.0</v>
      </c>
      <c r="H340" s="22">
        <v>0.0</v>
      </c>
      <c r="I340" s="22">
        <v>152.0</v>
      </c>
      <c r="J340" s="22">
        <v>199.0</v>
      </c>
      <c r="K340" s="22">
        <v>246.0</v>
      </c>
      <c r="L340" s="22" t="s">
        <v>29</v>
      </c>
      <c r="M340" s="22">
        <v>42.0</v>
      </c>
      <c r="N340" s="22">
        <v>206.0</v>
      </c>
      <c r="O340" s="22">
        <v>32.0</v>
      </c>
      <c r="P340" s="22">
        <v>190.0</v>
      </c>
      <c r="Q340" s="22">
        <v>8.0</v>
      </c>
      <c r="R340" s="22">
        <v>0.0</v>
      </c>
      <c r="S340" s="22">
        <v>0.0</v>
      </c>
      <c r="T340" s="24" t="s">
        <v>143</v>
      </c>
      <c r="U340" s="58"/>
      <c r="V340" s="75" t="s">
        <v>219</v>
      </c>
      <c r="W340" s="98"/>
      <c r="X340" s="28" t="s">
        <v>156</v>
      </c>
      <c r="Y340" s="29"/>
    </row>
    <row r="341">
      <c r="A341" s="30">
        <v>335.0</v>
      </c>
      <c r="B341" s="31" t="s">
        <v>52</v>
      </c>
      <c r="C341" s="32" t="str">
        <f>HYPERLINK("https://azurlane.koumakan.jp/Little_Bel","Little Bel")</f>
        <v>Little Bel</v>
      </c>
      <c r="D341" s="33" t="s">
        <v>28</v>
      </c>
      <c r="E341" s="33">
        <v>3306.0</v>
      </c>
      <c r="F341" s="33">
        <v>161.0</v>
      </c>
      <c r="G341" s="33">
        <v>329.0</v>
      </c>
      <c r="H341" s="33">
        <v>0.0</v>
      </c>
      <c r="I341" s="33">
        <v>289.0</v>
      </c>
      <c r="J341" s="33">
        <v>188.0</v>
      </c>
      <c r="K341" s="33">
        <v>113.0</v>
      </c>
      <c r="L341" s="33" t="s">
        <v>29</v>
      </c>
      <c r="M341" s="33">
        <v>32.0</v>
      </c>
      <c r="N341" s="33">
        <v>164.0</v>
      </c>
      <c r="O341" s="33">
        <v>89.0</v>
      </c>
      <c r="P341" s="33">
        <v>150.0</v>
      </c>
      <c r="Q341" s="33">
        <v>10.0</v>
      </c>
      <c r="R341" s="33">
        <v>0.0</v>
      </c>
      <c r="S341" s="33">
        <v>0.0</v>
      </c>
      <c r="T341" s="35" t="s">
        <v>104</v>
      </c>
      <c r="U341" s="57"/>
      <c r="V341" s="37" t="s">
        <v>76</v>
      </c>
      <c r="W341" s="102"/>
      <c r="X341" s="39" t="s">
        <v>241</v>
      </c>
      <c r="Y341" s="40"/>
    </row>
    <row r="342">
      <c r="A342" s="19">
        <v>336.0</v>
      </c>
      <c r="B342" s="20" t="s">
        <v>141</v>
      </c>
      <c r="C342" s="21" t="str">
        <f>HYPERLINK("https://azurlane.koumakan.jp/Abercrombie","Abercrombie")</f>
        <v>Abercrombie</v>
      </c>
      <c r="D342" s="22" t="s">
        <v>28</v>
      </c>
      <c r="E342" s="22">
        <v>3869.0</v>
      </c>
      <c r="F342" s="22">
        <v>290.0</v>
      </c>
      <c r="G342" s="22">
        <v>0.0</v>
      </c>
      <c r="H342" s="22">
        <v>0.0</v>
      </c>
      <c r="I342" s="22">
        <v>186.0</v>
      </c>
      <c r="J342" s="22">
        <v>150.0</v>
      </c>
      <c r="K342" s="22">
        <v>63.0</v>
      </c>
      <c r="L342" s="22" t="s">
        <v>29</v>
      </c>
      <c r="M342" s="22">
        <v>12.0</v>
      </c>
      <c r="N342" s="22">
        <v>83.0</v>
      </c>
      <c r="O342" s="22">
        <v>38.0</v>
      </c>
      <c r="P342" s="22">
        <v>0.0</v>
      </c>
      <c r="Q342" s="22">
        <v>10.0</v>
      </c>
      <c r="R342" s="22">
        <v>0.0</v>
      </c>
      <c r="S342" s="22">
        <v>0.0</v>
      </c>
      <c r="T342" s="24" t="s">
        <v>104</v>
      </c>
      <c r="U342" s="58"/>
      <c r="V342" s="26" t="s">
        <v>83</v>
      </c>
      <c r="W342" s="27">
        <v>0.04513888888888889</v>
      </c>
      <c r="X342" s="54"/>
      <c r="Y342" s="29"/>
    </row>
    <row r="343">
      <c r="A343" s="30">
        <v>337.0</v>
      </c>
      <c r="B343" s="31" t="s">
        <v>66</v>
      </c>
      <c r="C343" s="32" t="str">
        <f>HYPERLINK("https://azurlane.koumakan.jp/Sussex","Sussex")</f>
        <v>Sussex</v>
      </c>
      <c r="D343" s="33" t="s">
        <v>36</v>
      </c>
      <c r="E343" s="33">
        <v>3542.0</v>
      </c>
      <c r="F343" s="33">
        <v>205.0</v>
      </c>
      <c r="G343" s="33">
        <v>218.0</v>
      </c>
      <c r="H343" s="33">
        <v>0.0</v>
      </c>
      <c r="I343" s="33">
        <v>261.0</v>
      </c>
      <c r="J343" s="33">
        <v>162.0</v>
      </c>
      <c r="K343" s="33">
        <v>74.0</v>
      </c>
      <c r="L343" s="33" t="s">
        <v>29</v>
      </c>
      <c r="M343" s="33">
        <v>25.0</v>
      </c>
      <c r="N343" s="33">
        <v>120.0</v>
      </c>
      <c r="O343" s="33">
        <v>68.0</v>
      </c>
      <c r="P343" s="33">
        <v>0.0</v>
      </c>
      <c r="Q343" s="33">
        <v>10.0</v>
      </c>
      <c r="R343" s="33">
        <v>0.0</v>
      </c>
      <c r="S343" s="33">
        <v>0.0</v>
      </c>
      <c r="T343" s="35" t="s">
        <v>104</v>
      </c>
      <c r="U343" s="57"/>
      <c r="V343" s="37" t="s">
        <v>83</v>
      </c>
      <c r="W343" s="62">
        <v>0.0625</v>
      </c>
      <c r="X343" s="53"/>
      <c r="Y343" s="40"/>
    </row>
    <row r="344">
      <c r="A344" s="19">
        <v>338.0</v>
      </c>
      <c r="B344" s="20" t="s">
        <v>242</v>
      </c>
      <c r="C344" s="21" t="str">
        <f>HYPERLINK("https://azurlane.koumakan.jp/I-19","I-19")</f>
        <v>I-19</v>
      </c>
      <c r="D344" s="22" t="s">
        <v>32</v>
      </c>
      <c r="E344" s="22">
        <v>2218.0</v>
      </c>
      <c r="F344" s="22">
        <v>60.0</v>
      </c>
      <c r="G344" s="22">
        <v>556.0</v>
      </c>
      <c r="H344" s="22">
        <v>0.0</v>
      </c>
      <c r="I344" s="22">
        <v>0.0</v>
      </c>
      <c r="J344" s="22">
        <v>112.0</v>
      </c>
      <c r="K344" s="22">
        <v>46.0</v>
      </c>
      <c r="L344" s="22" t="s">
        <v>29</v>
      </c>
      <c r="M344" s="22">
        <v>18.0</v>
      </c>
      <c r="N344" s="22">
        <v>175.0</v>
      </c>
      <c r="O344" s="22">
        <v>19.0</v>
      </c>
      <c r="P344" s="22">
        <v>0.0</v>
      </c>
      <c r="Q344" s="22">
        <v>7.0</v>
      </c>
      <c r="R344" s="22">
        <v>200.0</v>
      </c>
      <c r="S344" s="22">
        <v>2.0</v>
      </c>
      <c r="T344" s="24" t="s">
        <v>143</v>
      </c>
      <c r="U344" s="58"/>
      <c r="V344" s="26" t="s">
        <v>92</v>
      </c>
      <c r="W344" s="27">
        <v>0.020833333333333332</v>
      </c>
      <c r="X344" s="28"/>
      <c r="Y344" s="29"/>
    </row>
    <row r="345">
      <c r="A345" s="30">
        <v>339.0</v>
      </c>
      <c r="B345" s="31" t="s">
        <v>242</v>
      </c>
      <c r="C345" s="32" t="str">
        <f>HYPERLINK("https://azurlane.koumakan.jp/I-26","I-26")</f>
        <v>I-26</v>
      </c>
      <c r="D345" s="33" t="s">
        <v>28</v>
      </c>
      <c r="E345" s="33">
        <v>2118.0</v>
      </c>
      <c r="F345" s="33">
        <v>61.0</v>
      </c>
      <c r="G345" s="33">
        <v>526.0</v>
      </c>
      <c r="H345" s="33">
        <v>0.0</v>
      </c>
      <c r="I345" s="33">
        <v>0.0</v>
      </c>
      <c r="J345" s="33">
        <v>110.0</v>
      </c>
      <c r="K345" s="33">
        <v>46.0</v>
      </c>
      <c r="L345" s="33" t="s">
        <v>29</v>
      </c>
      <c r="M345" s="33">
        <v>18.0</v>
      </c>
      <c r="N345" s="33">
        <v>168.0</v>
      </c>
      <c r="O345" s="33">
        <v>26.0</v>
      </c>
      <c r="P345" s="33">
        <v>0.0</v>
      </c>
      <c r="Q345" s="33">
        <v>6.0</v>
      </c>
      <c r="R345" s="33">
        <v>218.0</v>
      </c>
      <c r="S345" s="33">
        <v>2.0</v>
      </c>
      <c r="T345" s="35" t="s">
        <v>143</v>
      </c>
      <c r="U345" s="57"/>
      <c r="V345" s="37" t="s">
        <v>92</v>
      </c>
      <c r="W345" s="62">
        <v>0.020833333333333332</v>
      </c>
      <c r="X345" s="53"/>
      <c r="Y345" s="40"/>
    </row>
    <row r="346">
      <c r="A346" s="19">
        <v>340.0</v>
      </c>
      <c r="B346" s="20" t="s">
        <v>242</v>
      </c>
      <c r="C346" s="21" t="str">
        <f>HYPERLINK("https://azurlane.koumakan.jp/I-58","I-58")</f>
        <v>I-58</v>
      </c>
      <c r="D346" s="22" t="s">
        <v>28</v>
      </c>
      <c r="E346" s="22">
        <v>2131.0</v>
      </c>
      <c r="F346" s="22">
        <v>60.0</v>
      </c>
      <c r="G346" s="22">
        <v>509.0</v>
      </c>
      <c r="H346" s="22">
        <v>0.0</v>
      </c>
      <c r="I346" s="22">
        <v>0.0</v>
      </c>
      <c r="J346" s="22">
        <v>80.0</v>
      </c>
      <c r="K346" s="22">
        <v>38.0</v>
      </c>
      <c r="L346" s="22" t="s">
        <v>29</v>
      </c>
      <c r="M346" s="22">
        <v>14.0</v>
      </c>
      <c r="N346" s="22">
        <v>173.0</v>
      </c>
      <c r="O346" s="22">
        <v>58.0</v>
      </c>
      <c r="P346" s="22">
        <v>0.0</v>
      </c>
      <c r="Q346" s="22">
        <v>6.0</v>
      </c>
      <c r="R346" s="22">
        <v>268.0</v>
      </c>
      <c r="S346" s="22">
        <v>2.0</v>
      </c>
      <c r="T346" s="24" t="s">
        <v>143</v>
      </c>
      <c r="U346" s="58"/>
      <c r="V346" s="75" t="s">
        <v>92</v>
      </c>
      <c r="W346" s="76">
        <v>0.020833333333333332</v>
      </c>
      <c r="X346" s="54"/>
      <c r="Y346" s="29"/>
    </row>
    <row r="347">
      <c r="A347" s="30">
        <v>341.0</v>
      </c>
      <c r="B347" s="31" t="s">
        <v>242</v>
      </c>
      <c r="C347" s="32" t="str">
        <f>HYPERLINK("https://azurlane.koumakan.jp/U-81","U-81")</f>
        <v>U-81</v>
      </c>
      <c r="D347" s="33" t="s">
        <v>32</v>
      </c>
      <c r="E347" s="33">
        <v>1341.0</v>
      </c>
      <c r="F347" s="33">
        <v>51.0</v>
      </c>
      <c r="G347" s="33">
        <v>562.0</v>
      </c>
      <c r="H347" s="33">
        <v>0.0</v>
      </c>
      <c r="I347" s="33">
        <v>0.0</v>
      </c>
      <c r="J347" s="33">
        <v>110.0</v>
      </c>
      <c r="K347" s="33">
        <v>38.0</v>
      </c>
      <c r="L347" s="33" t="s">
        <v>29</v>
      </c>
      <c r="M347" s="33">
        <v>14.0</v>
      </c>
      <c r="N347" s="33">
        <v>179.0</v>
      </c>
      <c r="O347" s="33">
        <v>23.0</v>
      </c>
      <c r="P347" s="33">
        <v>0.0</v>
      </c>
      <c r="Q347" s="33">
        <v>7.0</v>
      </c>
      <c r="R347" s="33">
        <v>188.0</v>
      </c>
      <c r="S347" s="33">
        <v>2.0</v>
      </c>
      <c r="T347" s="35" t="s">
        <v>193</v>
      </c>
      <c r="U347" s="57"/>
      <c r="V347" s="37" t="s">
        <v>92</v>
      </c>
      <c r="W347" s="62">
        <v>0.008333333333333333</v>
      </c>
      <c r="X347" s="53"/>
      <c r="Y347" s="40"/>
    </row>
    <row r="348">
      <c r="A348" s="19">
        <v>342.0</v>
      </c>
      <c r="B348" s="20" t="s">
        <v>242</v>
      </c>
      <c r="C348" s="21" t="str">
        <f>HYPERLINK("https://azurlane.koumakan.jp/Dace","Dace")</f>
        <v>Dace</v>
      </c>
      <c r="D348" s="22" t="s">
        <v>28</v>
      </c>
      <c r="E348" s="22">
        <v>1733.0</v>
      </c>
      <c r="F348" s="22">
        <v>72.0</v>
      </c>
      <c r="G348" s="22">
        <v>509.0</v>
      </c>
      <c r="H348" s="22">
        <v>0.0</v>
      </c>
      <c r="I348" s="22">
        <v>0.0</v>
      </c>
      <c r="J348" s="22">
        <v>91.0</v>
      </c>
      <c r="K348" s="22">
        <v>43.0</v>
      </c>
      <c r="L348" s="22" t="s">
        <v>29</v>
      </c>
      <c r="M348" s="22">
        <v>16.0</v>
      </c>
      <c r="N348" s="22">
        <v>183.0</v>
      </c>
      <c r="O348" s="22">
        <v>68.0</v>
      </c>
      <c r="P348" s="22">
        <v>0.0</v>
      </c>
      <c r="Q348" s="22">
        <v>6.0</v>
      </c>
      <c r="R348" s="22">
        <v>243.0</v>
      </c>
      <c r="S348" s="22">
        <v>2.0</v>
      </c>
      <c r="T348" s="24" t="s">
        <v>37</v>
      </c>
      <c r="U348" s="58"/>
      <c r="V348" s="75" t="s">
        <v>92</v>
      </c>
      <c r="W348" s="76">
        <v>0.016666666666666666</v>
      </c>
      <c r="X348" s="54"/>
      <c r="Y348" s="29"/>
    </row>
    <row r="349">
      <c r="A349" s="30">
        <v>343.0</v>
      </c>
      <c r="B349" s="31" t="s">
        <v>242</v>
      </c>
      <c r="C349" s="32" t="str">
        <f>HYPERLINK("https://azurlane.koumakan.jp/U-47","U-47")</f>
        <v>U-47</v>
      </c>
      <c r="D349" s="33" t="s">
        <v>32</v>
      </c>
      <c r="E349" s="33">
        <v>1328.0</v>
      </c>
      <c r="F349" s="33">
        <v>49.0</v>
      </c>
      <c r="G349" s="33">
        <v>537.0</v>
      </c>
      <c r="H349" s="33">
        <v>0.0</v>
      </c>
      <c r="I349" s="33">
        <v>0.0</v>
      </c>
      <c r="J349" s="33">
        <v>112.0</v>
      </c>
      <c r="K349" s="33">
        <v>38.0</v>
      </c>
      <c r="L349" s="33" t="s">
        <v>29</v>
      </c>
      <c r="M349" s="33">
        <v>14.0</v>
      </c>
      <c r="N349" s="33">
        <v>182.0</v>
      </c>
      <c r="O349" s="33">
        <v>32.0</v>
      </c>
      <c r="P349" s="33">
        <v>0.0</v>
      </c>
      <c r="Q349" s="33">
        <v>7.0</v>
      </c>
      <c r="R349" s="33">
        <v>193.0</v>
      </c>
      <c r="S349" s="33">
        <v>2.0</v>
      </c>
      <c r="T349" s="35" t="s">
        <v>193</v>
      </c>
      <c r="U349" s="57"/>
      <c r="V349" s="37" t="s">
        <v>76</v>
      </c>
      <c r="W349" s="38">
        <v>0.007638888888888889</v>
      </c>
      <c r="X349" s="39" t="s">
        <v>196</v>
      </c>
      <c r="Y349" s="40"/>
    </row>
    <row r="350">
      <c r="A350" s="19">
        <v>344.0</v>
      </c>
      <c r="B350" s="20" t="s">
        <v>242</v>
      </c>
      <c r="C350" s="21" t="str">
        <f>HYPERLINK("https://azurlane.koumakan.jp/U-557","U-557")</f>
        <v>U-557</v>
      </c>
      <c r="D350" s="22" t="s">
        <v>28</v>
      </c>
      <c r="E350" s="22">
        <v>1292.0</v>
      </c>
      <c r="F350" s="22">
        <v>44.0</v>
      </c>
      <c r="G350" s="22">
        <v>505.0</v>
      </c>
      <c r="H350" s="22">
        <v>0.0</v>
      </c>
      <c r="I350" s="22">
        <v>0.0</v>
      </c>
      <c r="J350" s="22">
        <v>85.0</v>
      </c>
      <c r="K350" s="22">
        <v>38.0</v>
      </c>
      <c r="L350" s="22" t="s">
        <v>29</v>
      </c>
      <c r="M350" s="22">
        <v>14.0</v>
      </c>
      <c r="N350" s="22">
        <v>171.0</v>
      </c>
      <c r="O350" s="22">
        <v>18.0</v>
      </c>
      <c r="P350" s="22">
        <v>0.0</v>
      </c>
      <c r="Q350" s="22">
        <v>6.0</v>
      </c>
      <c r="R350" s="22">
        <v>188.0</v>
      </c>
      <c r="S350" s="22">
        <v>2.0</v>
      </c>
      <c r="T350" s="24" t="s">
        <v>193</v>
      </c>
      <c r="U350" s="58"/>
      <c r="V350" s="75" t="s">
        <v>76</v>
      </c>
      <c r="W350" s="98"/>
      <c r="X350" s="28" t="s">
        <v>205</v>
      </c>
      <c r="Y350" s="29"/>
    </row>
    <row r="351">
      <c r="A351" s="30">
        <v>345.0</v>
      </c>
      <c r="B351" s="31" t="s">
        <v>27</v>
      </c>
      <c r="C351" s="32" t="str">
        <f>HYPERLINK("https://azurlane.koumakan.jp/Z35","Z35")</f>
        <v>Z35</v>
      </c>
      <c r="D351" s="33" t="s">
        <v>28</v>
      </c>
      <c r="E351" s="33">
        <v>2143.0</v>
      </c>
      <c r="F351" s="33">
        <v>82.0</v>
      </c>
      <c r="G351" s="33">
        <v>446.0</v>
      </c>
      <c r="H351" s="33">
        <v>0.0</v>
      </c>
      <c r="I351" s="33">
        <v>186.0</v>
      </c>
      <c r="J351" s="33">
        <v>204.0</v>
      </c>
      <c r="K351" s="33">
        <v>205.0</v>
      </c>
      <c r="L351" s="33" t="s">
        <v>29</v>
      </c>
      <c r="M351" s="33">
        <v>43.0</v>
      </c>
      <c r="N351" s="33">
        <v>203.0</v>
      </c>
      <c r="O351" s="33">
        <v>35.0</v>
      </c>
      <c r="P351" s="33">
        <v>206.0</v>
      </c>
      <c r="Q351" s="33">
        <v>9.0</v>
      </c>
      <c r="R351" s="33">
        <v>0.0</v>
      </c>
      <c r="S351" s="33">
        <v>0.0</v>
      </c>
      <c r="T351" s="35" t="s">
        <v>193</v>
      </c>
      <c r="U351" s="57"/>
      <c r="V351" s="61" t="s">
        <v>76</v>
      </c>
      <c r="W351" s="62">
        <v>0.024305555555555556</v>
      </c>
      <c r="X351" s="39" t="s">
        <v>214</v>
      </c>
      <c r="Y351" s="40"/>
    </row>
    <row r="352">
      <c r="A352" s="19">
        <v>346.0</v>
      </c>
      <c r="B352" s="20" t="s">
        <v>27</v>
      </c>
      <c r="C352" s="21" t="str">
        <f>HYPERLINK("https://azurlane.koumakan.jp/Z18","Z18")</f>
        <v>Z18</v>
      </c>
      <c r="D352" s="22" t="s">
        <v>36</v>
      </c>
      <c r="E352" s="22">
        <v>2082.0</v>
      </c>
      <c r="F352" s="22">
        <v>69.0</v>
      </c>
      <c r="G352" s="22">
        <v>446.0</v>
      </c>
      <c r="H352" s="22">
        <v>0.0</v>
      </c>
      <c r="I352" s="22">
        <v>152.0</v>
      </c>
      <c r="J352" s="22">
        <v>204.0</v>
      </c>
      <c r="K352" s="22">
        <v>192.0</v>
      </c>
      <c r="L352" s="22" t="s">
        <v>29</v>
      </c>
      <c r="M352" s="22">
        <v>43.0</v>
      </c>
      <c r="N352" s="22">
        <v>205.0</v>
      </c>
      <c r="O352" s="22">
        <v>38.0</v>
      </c>
      <c r="P352" s="22">
        <v>195.0</v>
      </c>
      <c r="Q352" s="22">
        <v>8.0</v>
      </c>
      <c r="R352" s="22">
        <v>0.0</v>
      </c>
      <c r="S352" s="22">
        <v>0.0</v>
      </c>
      <c r="T352" s="24" t="s">
        <v>193</v>
      </c>
      <c r="U352" s="58"/>
      <c r="V352" s="26" t="s">
        <v>219</v>
      </c>
      <c r="W352" s="65"/>
      <c r="X352" s="28" t="s">
        <v>156</v>
      </c>
      <c r="Y352" s="29"/>
    </row>
    <row r="353">
      <c r="A353" s="30">
        <v>347.0</v>
      </c>
      <c r="B353" s="31" t="s">
        <v>27</v>
      </c>
      <c r="C353" s="32" t="str">
        <f>HYPERLINK("https://azurlane.koumakan.jp/Le_Triomphant","Le Triomphant")</f>
        <v>Le Triomphant</v>
      </c>
      <c r="D353" s="33" t="s">
        <v>32</v>
      </c>
      <c r="E353" s="33">
        <v>2071.0</v>
      </c>
      <c r="F353" s="33">
        <v>133.0</v>
      </c>
      <c r="G353" s="33">
        <v>271.0</v>
      </c>
      <c r="H353" s="33">
        <v>0.0</v>
      </c>
      <c r="I353" s="33">
        <v>170.0</v>
      </c>
      <c r="J353" s="33">
        <v>210.0</v>
      </c>
      <c r="K353" s="33">
        <v>274.0</v>
      </c>
      <c r="L353" s="33" t="s">
        <v>29</v>
      </c>
      <c r="M353" s="33">
        <v>54.0</v>
      </c>
      <c r="N353" s="33">
        <v>210.0</v>
      </c>
      <c r="O353" s="33">
        <v>77.0</v>
      </c>
      <c r="P353" s="33">
        <v>210.0</v>
      </c>
      <c r="Q353" s="33">
        <v>10.0</v>
      </c>
      <c r="R353" s="33">
        <v>0.0</v>
      </c>
      <c r="S353" s="33">
        <v>0.0</v>
      </c>
      <c r="T353" s="35" t="s">
        <v>243</v>
      </c>
      <c r="U353" s="57"/>
      <c r="V353" s="61" t="s">
        <v>29</v>
      </c>
      <c r="W353" s="62">
        <v>0.022916666666666665</v>
      </c>
      <c r="X353" s="39" t="s">
        <v>244</v>
      </c>
      <c r="Y353" s="40"/>
    </row>
    <row r="354">
      <c r="A354" s="19">
        <v>348.0</v>
      </c>
      <c r="B354" s="20" t="s">
        <v>27</v>
      </c>
      <c r="C354" s="21" t="str">
        <f>HYPERLINK("https://azurlane.koumakan.jp/Forbin","Forbin")</f>
        <v>Forbin</v>
      </c>
      <c r="D354" s="22" t="s">
        <v>36</v>
      </c>
      <c r="E354" s="22">
        <v>1410.0</v>
      </c>
      <c r="F354" s="22">
        <v>70.0</v>
      </c>
      <c r="G354" s="22">
        <v>415.0</v>
      </c>
      <c r="H354" s="22">
        <v>0.0</v>
      </c>
      <c r="I354" s="22">
        <v>141.0</v>
      </c>
      <c r="J354" s="22">
        <v>196.0</v>
      </c>
      <c r="K354" s="22">
        <v>258.0</v>
      </c>
      <c r="L354" s="22" t="s">
        <v>29</v>
      </c>
      <c r="M354" s="22">
        <v>39.0</v>
      </c>
      <c r="N354" s="22">
        <v>210.0</v>
      </c>
      <c r="O354" s="22">
        <v>69.0</v>
      </c>
      <c r="P354" s="22">
        <v>192.0</v>
      </c>
      <c r="Q354" s="22">
        <v>8.0</v>
      </c>
      <c r="R354" s="22">
        <v>0.0</v>
      </c>
      <c r="S354" s="22">
        <v>0.0</v>
      </c>
      <c r="T354" s="24" t="s">
        <v>243</v>
      </c>
      <c r="U354" s="58"/>
      <c r="V354" s="26" t="s">
        <v>29</v>
      </c>
      <c r="W354" s="27">
        <v>0.01597222222222222</v>
      </c>
      <c r="X354" s="28" t="s">
        <v>245</v>
      </c>
      <c r="Y354" s="29"/>
    </row>
    <row r="355">
      <c r="A355" s="30">
        <v>348.1</v>
      </c>
      <c r="B355" s="31" t="s">
        <v>27</v>
      </c>
      <c r="C355" s="32" t="str">
        <f>HYPERLINK("https://azurlane.koumakan.jp/Forbin#Retrofit","Forbin (R)")</f>
        <v>Forbin (R)</v>
      </c>
      <c r="D355" s="33" t="s">
        <v>28</v>
      </c>
      <c r="E355" s="33">
        <v>1470.0</v>
      </c>
      <c r="F355" s="33">
        <v>90.0</v>
      </c>
      <c r="G355" s="33">
        <v>445.0</v>
      </c>
      <c r="H355" s="33">
        <v>0.0</v>
      </c>
      <c r="I355" s="33">
        <v>171.0</v>
      </c>
      <c r="J355" s="33">
        <v>196.0</v>
      </c>
      <c r="K355" s="33">
        <v>258.0</v>
      </c>
      <c r="L355" s="33" t="s">
        <v>29</v>
      </c>
      <c r="M355" s="33">
        <v>42.0</v>
      </c>
      <c r="N355" s="33">
        <v>210.0</v>
      </c>
      <c r="O355" s="33">
        <v>69.0</v>
      </c>
      <c r="P355" s="33">
        <v>222.0</v>
      </c>
      <c r="Q355" s="33">
        <v>8.0</v>
      </c>
      <c r="R355" s="33">
        <v>0.0</v>
      </c>
      <c r="S355" s="33">
        <v>0.0</v>
      </c>
      <c r="T355" s="35" t="s">
        <v>243</v>
      </c>
      <c r="U355" s="55" t="s">
        <v>42</v>
      </c>
      <c r="W355" s="56"/>
      <c r="X355" s="39"/>
      <c r="Y355" s="40"/>
    </row>
    <row r="356">
      <c r="A356" s="19">
        <v>349.0</v>
      </c>
      <c r="B356" s="20" t="s">
        <v>52</v>
      </c>
      <c r="C356" s="21" t="str">
        <f>HYPERLINK("https://azurlane.koumakan.jp/Emile_Bertin","Emile Bertin")</f>
        <v>Emile Bertin</v>
      </c>
      <c r="D356" s="22" t="s">
        <v>28</v>
      </c>
      <c r="E356" s="22">
        <v>3259.0</v>
      </c>
      <c r="F356" s="22">
        <v>163.0</v>
      </c>
      <c r="G356" s="22">
        <v>277.0</v>
      </c>
      <c r="H356" s="22">
        <v>0.0</v>
      </c>
      <c r="I356" s="22">
        <v>278.0</v>
      </c>
      <c r="J356" s="22">
        <v>175.0</v>
      </c>
      <c r="K356" s="22">
        <v>139.0</v>
      </c>
      <c r="L356" s="22" t="s">
        <v>29</v>
      </c>
      <c r="M356" s="22">
        <v>34.0</v>
      </c>
      <c r="N356" s="22">
        <v>175.0</v>
      </c>
      <c r="O356" s="22">
        <v>67.0</v>
      </c>
      <c r="P356" s="22">
        <v>146.0</v>
      </c>
      <c r="Q356" s="22">
        <v>10.0</v>
      </c>
      <c r="R356" s="22">
        <v>0.0</v>
      </c>
      <c r="S356" s="22">
        <v>0.0</v>
      </c>
      <c r="T356" s="24" t="s">
        <v>243</v>
      </c>
      <c r="U356" s="58"/>
      <c r="V356" s="26" t="s">
        <v>76</v>
      </c>
      <c r="W356" s="65"/>
      <c r="X356" s="28" t="s">
        <v>246</v>
      </c>
      <c r="Y356" s="29"/>
    </row>
    <row r="357">
      <c r="A357" s="106">
        <v>349.1</v>
      </c>
      <c r="B357" s="90" t="s">
        <v>52</v>
      </c>
      <c r="C357" s="107" t="str">
        <f>HYPERLINK("https://azurlane.koumakan.jp/Emile_Bertin#Retrofit","Emile Bertin (R)")</f>
        <v>Emile Bertin (R)</v>
      </c>
      <c r="D357" s="108" t="s">
        <v>32</v>
      </c>
      <c r="E357" s="108">
        <v>3499.0</v>
      </c>
      <c r="F357" s="108">
        <v>193.0</v>
      </c>
      <c r="G357" s="108">
        <v>302.0</v>
      </c>
      <c r="H357" s="109">
        <v>0.0</v>
      </c>
      <c r="I357" s="108">
        <v>333.0</v>
      </c>
      <c r="J357" s="108">
        <v>180.0</v>
      </c>
      <c r="K357" s="108">
        <v>139.0</v>
      </c>
      <c r="L357" s="109" t="s">
        <v>29</v>
      </c>
      <c r="M357" s="108">
        <v>34.0</v>
      </c>
      <c r="N357" s="108">
        <v>180.0</v>
      </c>
      <c r="O357" s="109">
        <v>67.0</v>
      </c>
      <c r="P357" s="108">
        <v>146.0</v>
      </c>
      <c r="Q357" s="109">
        <v>10.0</v>
      </c>
      <c r="R357" s="108">
        <v>0.0</v>
      </c>
      <c r="S357" s="108">
        <v>0.0</v>
      </c>
      <c r="T357" s="35" t="s">
        <v>243</v>
      </c>
      <c r="U357" s="110" t="s">
        <v>42</v>
      </c>
      <c r="W357" s="56"/>
      <c r="X357" s="95"/>
      <c r="Y357" s="74"/>
    </row>
    <row r="358">
      <c r="A358" s="19">
        <v>350.0</v>
      </c>
      <c r="B358" s="20" t="s">
        <v>242</v>
      </c>
      <c r="C358" s="21" t="str">
        <f>HYPERLINK("https://azurlane.koumakan.jp/Surcouf","Surcouf")</f>
        <v>Surcouf</v>
      </c>
      <c r="D358" s="22" t="s">
        <v>28</v>
      </c>
      <c r="E358" s="22">
        <v>2887.0</v>
      </c>
      <c r="F358" s="22">
        <v>141.0</v>
      </c>
      <c r="G358" s="22">
        <v>515.0</v>
      </c>
      <c r="H358" s="22">
        <v>0.0</v>
      </c>
      <c r="I358" s="22">
        <v>0.0</v>
      </c>
      <c r="J358" s="22">
        <v>77.0</v>
      </c>
      <c r="K358" s="22">
        <v>23.0</v>
      </c>
      <c r="L358" s="22" t="s">
        <v>29</v>
      </c>
      <c r="M358" s="22">
        <v>14.0</v>
      </c>
      <c r="N358" s="22">
        <v>171.0</v>
      </c>
      <c r="O358" s="22">
        <v>60.0</v>
      </c>
      <c r="P358" s="22">
        <v>0.0</v>
      </c>
      <c r="Q358" s="22">
        <v>6.0</v>
      </c>
      <c r="R358" s="22">
        <v>180.0</v>
      </c>
      <c r="S358" s="22">
        <v>2.0</v>
      </c>
      <c r="T358" s="24" t="s">
        <v>243</v>
      </c>
      <c r="U358" s="58"/>
      <c r="V358" s="26" t="s">
        <v>92</v>
      </c>
      <c r="W358" s="27">
        <v>0.024305555555555556</v>
      </c>
      <c r="X358" s="28" t="s">
        <v>245</v>
      </c>
      <c r="Y358" s="29"/>
    </row>
    <row r="359">
      <c r="A359" s="30">
        <v>351.0</v>
      </c>
      <c r="B359" s="31" t="s">
        <v>27</v>
      </c>
      <c r="C359" s="32" t="str">
        <f>HYPERLINK("https://azurlane.koumakan.jp/Le_Mars","Le Mars")</f>
        <v>Le Mars</v>
      </c>
      <c r="D359" s="33" t="s">
        <v>36</v>
      </c>
      <c r="E359" s="33">
        <v>1410.0</v>
      </c>
      <c r="F359" s="33">
        <v>70.0</v>
      </c>
      <c r="G359" s="33">
        <v>415.0</v>
      </c>
      <c r="H359" s="33">
        <v>0.0</v>
      </c>
      <c r="I359" s="33">
        <v>141.0</v>
      </c>
      <c r="J359" s="33">
        <v>196.0</v>
      </c>
      <c r="K359" s="33">
        <v>258.0</v>
      </c>
      <c r="L359" s="33" t="s">
        <v>29</v>
      </c>
      <c r="M359" s="33">
        <v>39.0</v>
      </c>
      <c r="N359" s="33">
        <v>210.0</v>
      </c>
      <c r="O359" s="33">
        <v>24.0</v>
      </c>
      <c r="P359" s="33">
        <v>190.0</v>
      </c>
      <c r="Q359" s="33">
        <v>8.0</v>
      </c>
      <c r="R359" s="33">
        <v>0.0</v>
      </c>
      <c r="S359" s="33">
        <v>0.0</v>
      </c>
      <c r="T359" s="35" t="s">
        <v>247</v>
      </c>
      <c r="U359" s="57"/>
      <c r="V359" s="37" t="s">
        <v>29</v>
      </c>
      <c r="W359" s="38">
        <v>0.01597222222222222</v>
      </c>
      <c r="X359" s="39" t="s">
        <v>244</v>
      </c>
      <c r="Y359" s="40"/>
    </row>
    <row r="360">
      <c r="A360" s="19">
        <v>351.1</v>
      </c>
      <c r="B360" s="20" t="s">
        <v>27</v>
      </c>
      <c r="C360" s="21" t="str">
        <f>HYPERLINK("https://azurlane.koumakan.jp/Le_Mars#Retrofit","Le Mars (R)")</f>
        <v>Le Mars (R)</v>
      </c>
      <c r="D360" s="22" t="s">
        <v>28</v>
      </c>
      <c r="E360" s="22">
        <v>1470.0</v>
      </c>
      <c r="F360" s="22">
        <v>90.0</v>
      </c>
      <c r="G360" s="22">
        <v>445.0</v>
      </c>
      <c r="H360" s="22">
        <v>0.0</v>
      </c>
      <c r="I360" s="22">
        <v>186.0</v>
      </c>
      <c r="J360" s="22">
        <v>196.0</v>
      </c>
      <c r="K360" s="22">
        <v>258.0</v>
      </c>
      <c r="L360" s="22" t="s">
        <v>29</v>
      </c>
      <c r="M360" s="22">
        <v>42.0</v>
      </c>
      <c r="N360" s="22">
        <v>210.0</v>
      </c>
      <c r="O360" s="22">
        <v>24.0</v>
      </c>
      <c r="P360" s="22">
        <v>205.0</v>
      </c>
      <c r="Q360" s="22">
        <v>8.0</v>
      </c>
      <c r="R360" s="22">
        <v>0.0</v>
      </c>
      <c r="S360" s="22">
        <v>0.0</v>
      </c>
      <c r="T360" s="24" t="s">
        <v>247</v>
      </c>
      <c r="U360" s="59" t="s">
        <v>42</v>
      </c>
      <c r="W360" s="60"/>
      <c r="X360" s="54"/>
      <c r="Y360" s="29"/>
    </row>
    <row r="361">
      <c r="A361" s="30">
        <v>352.0</v>
      </c>
      <c r="B361" s="31" t="s">
        <v>126</v>
      </c>
      <c r="C361" s="32" t="str">
        <f>HYPERLINK("https://azurlane.koumakan.jp/Dunkerque","Dunkerque")</f>
        <v>Dunkerque</v>
      </c>
      <c r="D361" s="33" t="s">
        <v>28</v>
      </c>
      <c r="E361" s="33">
        <v>6950.0</v>
      </c>
      <c r="F361" s="33">
        <v>362.0</v>
      </c>
      <c r="G361" s="33">
        <v>0.0</v>
      </c>
      <c r="H361" s="33">
        <v>0.0</v>
      </c>
      <c r="I361" s="33">
        <v>232.0</v>
      </c>
      <c r="J361" s="33">
        <v>166.0</v>
      </c>
      <c r="K361" s="33">
        <v>43.0</v>
      </c>
      <c r="L361" s="33" t="s">
        <v>71</v>
      </c>
      <c r="M361" s="33">
        <v>31.0</v>
      </c>
      <c r="N361" s="33">
        <v>73.0</v>
      </c>
      <c r="O361" s="33">
        <v>35.0</v>
      </c>
      <c r="P361" s="33">
        <v>0.0</v>
      </c>
      <c r="Q361" s="33">
        <v>13.0</v>
      </c>
      <c r="R361" s="33">
        <v>0.0</v>
      </c>
      <c r="S361" s="33">
        <v>0.0</v>
      </c>
      <c r="T361" s="35" t="s">
        <v>247</v>
      </c>
      <c r="U361" s="57"/>
      <c r="V361" s="37" t="s">
        <v>83</v>
      </c>
      <c r="W361" s="62">
        <v>0.1701388888888889</v>
      </c>
      <c r="X361" s="39" t="s">
        <v>245</v>
      </c>
      <c r="Y361" s="40"/>
    </row>
    <row r="362">
      <c r="A362" s="19">
        <v>353.0</v>
      </c>
      <c r="B362" s="20" t="s">
        <v>82</v>
      </c>
      <c r="C362" s="21" t="str">
        <f>HYPERLINK("https://azurlane.koumakan.jp/Jean_Bart","Jean Bart")</f>
        <v>Jean Bart</v>
      </c>
      <c r="D362" s="22" t="s">
        <v>32</v>
      </c>
      <c r="E362" s="22">
        <v>8227.0</v>
      </c>
      <c r="F362" s="22">
        <v>425.0</v>
      </c>
      <c r="G362" s="22">
        <v>0.0</v>
      </c>
      <c r="H362" s="22">
        <v>0.0</v>
      </c>
      <c r="I362" s="22">
        <v>247.0</v>
      </c>
      <c r="J362" s="22">
        <v>182.0</v>
      </c>
      <c r="K362" s="22">
        <v>44.0</v>
      </c>
      <c r="L362" s="22" t="s">
        <v>83</v>
      </c>
      <c r="M362" s="22">
        <v>32.0</v>
      </c>
      <c r="N362" s="22">
        <v>69.0</v>
      </c>
      <c r="O362" s="22">
        <v>17.0</v>
      </c>
      <c r="P362" s="22">
        <v>0.0</v>
      </c>
      <c r="Q362" s="22">
        <v>15.0</v>
      </c>
      <c r="R362" s="22">
        <v>0.0</v>
      </c>
      <c r="S362" s="22">
        <v>0.0</v>
      </c>
      <c r="T362" s="24" t="s">
        <v>247</v>
      </c>
      <c r="U362" s="58"/>
      <c r="V362" s="26" t="s">
        <v>83</v>
      </c>
      <c r="W362" s="27">
        <v>0.24305555555555555</v>
      </c>
      <c r="X362" s="28" t="s">
        <v>245</v>
      </c>
      <c r="Y362" s="29"/>
    </row>
    <row r="363">
      <c r="A363" s="30">
        <v>354.0</v>
      </c>
      <c r="B363" s="31" t="s">
        <v>82</v>
      </c>
      <c r="C363" s="32" t="str">
        <f>HYPERLINK("https://azurlane.koumakan.jp/Massachusetts","Massachusetts")</f>
        <v>Massachusetts</v>
      </c>
      <c r="D363" s="33" t="s">
        <v>32</v>
      </c>
      <c r="E363" s="33">
        <v>7967.0</v>
      </c>
      <c r="F363" s="33">
        <v>419.0</v>
      </c>
      <c r="G363" s="33">
        <v>0.0</v>
      </c>
      <c r="H363" s="33">
        <v>0.0</v>
      </c>
      <c r="I363" s="33">
        <v>409.0</v>
      </c>
      <c r="J363" s="33">
        <v>158.0</v>
      </c>
      <c r="K363" s="33">
        <v>34.0</v>
      </c>
      <c r="L363" s="33" t="s">
        <v>83</v>
      </c>
      <c r="M363" s="33">
        <v>27.0</v>
      </c>
      <c r="N363" s="33">
        <v>76.0</v>
      </c>
      <c r="O363" s="33">
        <v>82.0</v>
      </c>
      <c r="P363" s="33">
        <v>0.0</v>
      </c>
      <c r="Q363" s="33">
        <v>15.0</v>
      </c>
      <c r="R363" s="33">
        <v>0.0</v>
      </c>
      <c r="S363" s="33">
        <v>0.0</v>
      </c>
      <c r="T363" s="35" t="s">
        <v>37</v>
      </c>
      <c r="U363" s="57"/>
      <c r="V363" s="37" t="s">
        <v>83</v>
      </c>
      <c r="W363" s="38">
        <v>0.20833333333333334</v>
      </c>
      <c r="X363" s="39" t="s">
        <v>245</v>
      </c>
      <c r="Y363" s="40"/>
    </row>
    <row r="364">
      <c r="A364" s="19">
        <v>355.0</v>
      </c>
      <c r="B364" s="20" t="s">
        <v>27</v>
      </c>
      <c r="C364" s="21" t="str">
        <f>HYPERLINK("https://azurlane.koumakan.jp/Bush","Bush")</f>
        <v>Bush</v>
      </c>
      <c r="D364" s="22" t="s">
        <v>36</v>
      </c>
      <c r="E364" s="22">
        <v>2104.0</v>
      </c>
      <c r="F364" s="22">
        <v>87.0</v>
      </c>
      <c r="G364" s="22">
        <v>286.0</v>
      </c>
      <c r="H364" s="22">
        <v>0.0</v>
      </c>
      <c r="I364" s="22">
        <v>193.0</v>
      </c>
      <c r="J364" s="22">
        <v>204.0</v>
      </c>
      <c r="K364" s="22">
        <v>206.0</v>
      </c>
      <c r="L364" s="22" t="s">
        <v>29</v>
      </c>
      <c r="M364" s="22">
        <v>42.0</v>
      </c>
      <c r="N364" s="22">
        <v>224.0</v>
      </c>
      <c r="O364" s="22">
        <v>34.0</v>
      </c>
      <c r="P364" s="22">
        <v>209.0</v>
      </c>
      <c r="Q364" s="22">
        <v>8.0</v>
      </c>
      <c r="R364" s="22">
        <v>0.0</v>
      </c>
      <c r="S364" s="22">
        <v>0.0</v>
      </c>
      <c r="T364" s="24" t="s">
        <v>37</v>
      </c>
      <c r="U364" s="58"/>
      <c r="V364" s="75" t="s">
        <v>219</v>
      </c>
      <c r="W364" s="98"/>
      <c r="X364" s="28" t="s">
        <v>156</v>
      </c>
      <c r="Y364" s="29"/>
    </row>
    <row r="365">
      <c r="A365" s="30">
        <v>356.0</v>
      </c>
      <c r="B365" s="31" t="s">
        <v>91</v>
      </c>
      <c r="C365" s="32" t="str">
        <f>HYPERLINK("https://azurlane.koumakan.jp/Centaur","Centaur")</f>
        <v>Centaur</v>
      </c>
      <c r="D365" s="33" t="s">
        <v>32</v>
      </c>
      <c r="E365" s="33">
        <v>6784.0</v>
      </c>
      <c r="F365" s="33">
        <v>0.0</v>
      </c>
      <c r="G365" s="33">
        <v>0.0</v>
      </c>
      <c r="H365" s="33">
        <v>426.0</v>
      </c>
      <c r="I365" s="33">
        <v>274.0</v>
      </c>
      <c r="J365" s="33">
        <v>162.0</v>
      </c>
      <c r="K365" s="33">
        <v>72.0</v>
      </c>
      <c r="L365" s="33" t="s">
        <v>71</v>
      </c>
      <c r="M365" s="33">
        <v>28.0</v>
      </c>
      <c r="N365" s="33">
        <v>98.0</v>
      </c>
      <c r="O365" s="33">
        <v>73.0</v>
      </c>
      <c r="P365" s="33">
        <v>128.0</v>
      </c>
      <c r="Q365" s="33">
        <v>13.0</v>
      </c>
      <c r="R365" s="33">
        <v>0.0</v>
      </c>
      <c r="S365" s="33">
        <v>0.0</v>
      </c>
      <c r="T365" s="35" t="s">
        <v>104</v>
      </c>
      <c r="U365" s="57"/>
      <c r="V365" s="37" t="s">
        <v>92</v>
      </c>
      <c r="W365" s="38">
        <v>0.125</v>
      </c>
      <c r="X365" s="39"/>
      <c r="Y365" s="40"/>
    </row>
    <row r="366">
      <c r="A366" s="19">
        <v>357.0</v>
      </c>
      <c r="B366" s="20" t="s">
        <v>95</v>
      </c>
      <c r="C366" s="21" t="str">
        <f>HYPERLINK("https://azurlane.koumakan.jp/Essex","Essex")</f>
        <v>Essex</v>
      </c>
      <c r="D366" s="22" t="s">
        <v>32</v>
      </c>
      <c r="E366" s="22">
        <v>6804.0</v>
      </c>
      <c r="F366" s="22">
        <v>0.0</v>
      </c>
      <c r="G366" s="22">
        <v>0.0</v>
      </c>
      <c r="H366" s="22">
        <v>439.0</v>
      </c>
      <c r="I366" s="22">
        <v>338.0</v>
      </c>
      <c r="J366" s="22">
        <v>132.0</v>
      </c>
      <c r="K366" s="22">
        <v>56.0</v>
      </c>
      <c r="L366" s="22" t="s">
        <v>71</v>
      </c>
      <c r="M366" s="22">
        <v>33.0</v>
      </c>
      <c r="N366" s="22">
        <v>90.0</v>
      </c>
      <c r="O366" s="22">
        <v>90.0</v>
      </c>
      <c r="P366" s="22">
        <v>0.0</v>
      </c>
      <c r="Q366" s="22">
        <v>13.0</v>
      </c>
      <c r="R366" s="22">
        <v>0.0</v>
      </c>
      <c r="S366" s="22">
        <v>0.0</v>
      </c>
      <c r="T366" s="24" t="s">
        <v>37</v>
      </c>
      <c r="U366" s="58"/>
      <c r="V366" s="75" t="s">
        <v>92</v>
      </c>
      <c r="W366" s="76">
        <v>0.1840277777777778</v>
      </c>
      <c r="X366" s="28" t="s">
        <v>189</v>
      </c>
      <c r="Y366" s="29"/>
    </row>
    <row r="367">
      <c r="A367" s="30">
        <v>358.0</v>
      </c>
      <c r="B367" s="31" t="s">
        <v>242</v>
      </c>
      <c r="C367" s="32" t="str">
        <f>HYPERLINK("https://azurlane.koumakan.jp/Albacore","Albacore")</f>
        <v>Albacore</v>
      </c>
      <c r="D367" s="33" t="s">
        <v>32</v>
      </c>
      <c r="E367" s="33">
        <v>1971.0</v>
      </c>
      <c r="F367" s="33">
        <v>61.0</v>
      </c>
      <c r="G367" s="33">
        <v>532.0</v>
      </c>
      <c r="H367" s="33">
        <v>0.0</v>
      </c>
      <c r="I367" s="33">
        <v>0.0</v>
      </c>
      <c r="J367" s="33">
        <v>96.0</v>
      </c>
      <c r="K367" s="33">
        <v>43.0</v>
      </c>
      <c r="L367" s="33" t="s">
        <v>29</v>
      </c>
      <c r="M367" s="33">
        <v>16.0</v>
      </c>
      <c r="N367" s="33">
        <v>198.0</v>
      </c>
      <c r="O367" s="33">
        <v>79.0</v>
      </c>
      <c r="P367" s="33">
        <v>0.0</v>
      </c>
      <c r="Q367" s="33">
        <v>7.0</v>
      </c>
      <c r="R367" s="33">
        <v>243.0</v>
      </c>
      <c r="S367" s="33">
        <v>2.0</v>
      </c>
      <c r="T367" s="35" t="s">
        <v>37</v>
      </c>
      <c r="U367" s="57"/>
      <c r="V367" s="37" t="s">
        <v>51</v>
      </c>
      <c r="W367" s="38">
        <v>0.016666666666666666</v>
      </c>
      <c r="X367" s="39" t="s">
        <v>248</v>
      </c>
      <c r="Y367" s="40"/>
    </row>
    <row r="368">
      <c r="A368" s="19">
        <v>359.0</v>
      </c>
      <c r="B368" s="20" t="s">
        <v>27</v>
      </c>
      <c r="C368" s="21" t="str">
        <f>HYPERLINK("https://azurlane.koumakan.jp/Le_Temeraire","Le Temeraire")</f>
        <v>Le Temeraire</v>
      </c>
      <c r="D368" s="22" t="s">
        <v>28</v>
      </c>
      <c r="E368" s="22">
        <v>1610.0</v>
      </c>
      <c r="F368" s="22">
        <v>95.0</v>
      </c>
      <c r="G368" s="22">
        <v>399.0</v>
      </c>
      <c r="H368" s="22">
        <v>0.0</v>
      </c>
      <c r="I368" s="22">
        <v>176.0</v>
      </c>
      <c r="J368" s="22">
        <v>194.0</v>
      </c>
      <c r="K368" s="22">
        <v>244.0</v>
      </c>
      <c r="L368" s="22" t="s">
        <v>29</v>
      </c>
      <c r="M368" s="22">
        <v>42.0</v>
      </c>
      <c r="N368" s="22">
        <v>212.0</v>
      </c>
      <c r="O368" s="22">
        <v>41.0</v>
      </c>
      <c r="P368" s="22">
        <v>190.0</v>
      </c>
      <c r="Q368" s="22">
        <v>9.0</v>
      </c>
      <c r="R368" s="22">
        <v>0.0</v>
      </c>
      <c r="S368" s="22">
        <v>0.0</v>
      </c>
      <c r="T368" s="24" t="s">
        <v>243</v>
      </c>
      <c r="U368" s="58"/>
      <c r="V368" s="75" t="s">
        <v>76</v>
      </c>
      <c r="W368" s="76">
        <v>0.018055555555555554</v>
      </c>
      <c r="X368" s="28" t="s">
        <v>189</v>
      </c>
      <c r="Y368" s="29"/>
    </row>
    <row r="369">
      <c r="A369" s="30">
        <v>360.0</v>
      </c>
      <c r="B369" s="31" t="s">
        <v>52</v>
      </c>
      <c r="C369" s="32" t="str">
        <f>HYPERLINK("https://azurlane.koumakan.jp/Memphis","Memphis")</f>
        <v>Memphis</v>
      </c>
      <c r="D369" s="33" t="s">
        <v>36</v>
      </c>
      <c r="E369" s="33">
        <v>3378.0</v>
      </c>
      <c r="F369" s="33">
        <v>148.0</v>
      </c>
      <c r="G369" s="33">
        <v>215.0</v>
      </c>
      <c r="H369" s="33">
        <v>0.0</v>
      </c>
      <c r="I369" s="33">
        <v>301.0</v>
      </c>
      <c r="J369" s="33">
        <v>188.0</v>
      </c>
      <c r="K369" s="33">
        <v>120.0</v>
      </c>
      <c r="L369" s="33" t="s">
        <v>29</v>
      </c>
      <c r="M369" s="33">
        <v>35.0</v>
      </c>
      <c r="N369" s="33">
        <v>156.0</v>
      </c>
      <c r="O369" s="34">
        <v>67.0</v>
      </c>
      <c r="P369" s="33">
        <v>84.0</v>
      </c>
      <c r="Q369" s="33">
        <v>9.0</v>
      </c>
      <c r="R369" s="33">
        <v>0.0</v>
      </c>
      <c r="S369" s="33">
        <v>0.0</v>
      </c>
      <c r="T369" s="35" t="s">
        <v>37</v>
      </c>
      <c r="U369" s="57"/>
      <c r="V369" s="37" t="s">
        <v>29</v>
      </c>
      <c r="W369" s="62">
        <v>0.04513888888888889</v>
      </c>
      <c r="X369" s="53"/>
      <c r="Y369" s="40"/>
    </row>
    <row r="370">
      <c r="A370" s="19">
        <v>361.0</v>
      </c>
      <c r="B370" s="20" t="s">
        <v>52</v>
      </c>
      <c r="C370" s="21" t="str">
        <f>HYPERLINK("https://azurlane.koumakan.jp/Newcastle","Newcastle")</f>
        <v>Newcastle</v>
      </c>
      <c r="D370" s="22" t="s">
        <v>36</v>
      </c>
      <c r="E370" s="22">
        <v>3773.0</v>
      </c>
      <c r="F370" s="22">
        <v>147.0</v>
      </c>
      <c r="G370" s="22">
        <v>289.0</v>
      </c>
      <c r="H370" s="22">
        <v>0.0</v>
      </c>
      <c r="I370" s="22">
        <v>354.0</v>
      </c>
      <c r="J370" s="22">
        <v>181.0</v>
      </c>
      <c r="K370" s="22">
        <v>119.0</v>
      </c>
      <c r="L370" s="22" t="s">
        <v>29</v>
      </c>
      <c r="M370" s="22">
        <v>32.0</v>
      </c>
      <c r="N370" s="22">
        <v>164.0</v>
      </c>
      <c r="O370" s="22">
        <v>78.0</v>
      </c>
      <c r="P370" s="22">
        <v>86.0</v>
      </c>
      <c r="Q370" s="22">
        <v>9.0</v>
      </c>
      <c r="R370" s="22">
        <v>0.0</v>
      </c>
      <c r="S370" s="22">
        <v>0.0</v>
      </c>
      <c r="T370" s="24" t="s">
        <v>104</v>
      </c>
      <c r="U370" s="58"/>
      <c r="V370" s="26" t="s">
        <v>76</v>
      </c>
      <c r="W370" s="65"/>
      <c r="X370" s="67" t="s">
        <v>249</v>
      </c>
      <c r="Y370" s="29"/>
    </row>
    <row r="371">
      <c r="A371" s="30">
        <v>361.1</v>
      </c>
      <c r="B371" s="31" t="s">
        <v>52</v>
      </c>
      <c r="C371" s="32" t="str">
        <f>HYPERLINK("https://azurlane.koumakan.jp/Newcastle#Retrofit","Newcastle (R)")</f>
        <v>Newcastle (R)</v>
      </c>
      <c r="D371" s="33" t="s">
        <v>28</v>
      </c>
      <c r="E371" s="33">
        <v>4013.0</v>
      </c>
      <c r="F371" s="33">
        <v>177.0</v>
      </c>
      <c r="G371" s="33">
        <v>289.0</v>
      </c>
      <c r="H371" s="33">
        <v>0.0</v>
      </c>
      <c r="I371" s="33">
        <v>394.0</v>
      </c>
      <c r="J371" s="33">
        <v>196.0</v>
      </c>
      <c r="K371" s="33">
        <v>119.0</v>
      </c>
      <c r="L371" s="33" t="s">
        <v>29</v>
      </c>
      <c r="M371" s="33">
        <v>32.0</v>
      </c>
      <c r="N371" s="33">
        <v>169.0</v>
      </c>
      <c r="O371" s="34">
        <v>78.0</v>
      </c>
      <c r="P371" s="33">
        <v>86.0</v>
      </c>
      <c r="Q371" s="33">
        <v>9.0</v>
      </c>
      <c r="R371" s="33">
        <v>0.0</v>
      </c>
      <c r="S371" s="33">
        <v>0.0</v>
      </c>
      <c r="T371" s="35" t="s">
        <v>104</v>
      </c>
      <c r="U371" s="55" t="s">
        <v>42</v>
      </c>
      <c r="W371" s="56"/>
      <c r="X371" s="53"/>
      <c r="Y371" s="40"/>
    </row>
    <row r="372">
      <c r="A372" s="19">
        <v>362.0</v>
      </c>
      <c r="B372" s="20" t="s">
        <v>27</v>
      </c>
      <c r="C372" s="21" t="str">
        <f>HYPERLINK("https://azurlane.koumakan.jp/Hobby","Hobby")</f>
        <v>Hobby</v>
      </c>
      <c r="D372" s="22" t="s">
        <v>36</v>
      </c>
      <c r="E372" s="22">
        <v>1870.0</v>
      </c>
      <c r="F372" s="22">
        <v>89.0</v>
      </c>
      <c r="G372" s="22">
        <v>324.0</v>
      </c>
      <c r="H372" s="22">
        <v>0.0</v>
      </c>
      <c r="I372" s="22">
        <v>175.0</v>
      </c>
      <c r="J372" s="22">
        <v>207.0</v>
      </c>
      <c r="K372" s="22">
        <v>210.0</v>
      </c>
      <c r="L372" s="22" t="s">
        <v>29</v>
      </c>
      <c r="M372" s="22">
        <v>45.0</v>
      </c>
      <c r="N372" s="22">
        <v>207.0</v>
      </c>
      <c r="O372" s="22">
        <v>68.0</v>
      </c>
      <c r="P372" s="22">
        <v>215.0</v>
      </c>
      <c r="Q372" s="22">
        <v>8.0</v>
      </c>
      <c r="R372" s="22">
        <v>0.0</v>
      </c>
      <c r="S372" s="22">
        <v>0.0</v>
      </c>
      <c r="T372" s="24" t="s">
        <v>37</v>
      </c>
      <c r="U372" s="58"/>
      <c r="V372" s="26" t="s">
        <v>29</v>
      </c>
      <c r="W372" s="65"/>
      <c r="X372" s="28" t="s">
        <v>250</v>
      </c>
      <c r="Y372" s="29"/>
    </row>
    <row r="373">
      <c r="A373" s="30">
        <v>363.0</v>
      </c>
      <c r="B373" s="31" t="s">
        <v>27</v>
      </c>
      <c r="C373" s="32" t="str">
        <f>HYPERLINK("https://azurlane.koumakan.jp/Kalk","Kalk")</f>
        <v>Kalk</v>
      </c>
      <c r="D373" s="33" t="s">
        <v>36</v>
      </c>
      <c r="E373" s="33">
        <v>1870.0</v>
      </c>
      <c r="F373" s="33">
        <v>89.0</v>
      </c>
      <c r="G373" s="33">
        <v>324.0</v>
      </c>
      <c r="H373" s="33">
        <v>0.0</v>
      </c>
      <c r="I373" s="33">
        <v>175.0</v>
      </c>
      <c r="J373" s="33">
        <v>207.0</v>
      </c>
      <c r="K373" s="33">
        <v>210.0</v>
      </c>
      <c r="L373" s="33" t="s">
        <v>29</v>
      </c>
      <c r="M373" s="33">
        <v>45.0</v>
      </c>
      <c r="N373" s="33">
        <v>207.0</v>
      </c>
      <c r="O373" s="33">
        <v>75.0</v>
      </c>
      <c r="P373" s="33">
        <v>196.0</v>
      </c>
      <c r="Q373" s="33">
        <v>8.0</v>
      </c>
      <c r="R373" s="33">
        <v>0.0</v>
      </c>
      <c r="S373" s="33">
        <v>0.0</v>
      </c>
      <c r="T373" s="35" t="s">
        <v>37</v>
      </c>
      <c r="U373" s="57"/>
      <c r="V373" s="37" t="s">
        <v>29</v>
      </c>
      <c r="W373" s="62">
        <v>0.01875</v>
      </c>
      <c r="X373" s="39" t="s">
        <v>84</v>
      </c>
      <c r="Y373" s="40"/>
    </row>
    <row r="374">
      <c r="A374" s="19">
        <v>364.0</v>
      </c>
      <c r="B374" s="20" t="s">
        <v>66</v>
      </c>
      <c r="C374" s="21" t="str">
        <f>HYPERLINK("https://azurlane.koumakan.jp/Minneapolis","Minneapolis")</f>
        <v>Minneapolis</v>
      </c>
      <c r="D374" s="22" t="s">
        <v>32</v>
      </c>
      <c r="E374" s="22">
        <v>4248.0</v>
      </c>
      <c r="F374" s="22">
        <v>262.0</v>
      </c>
      <c r="G374" s="22">
        <v>0.0</v>
      </c>
      <c r="H374" s="22">
        <v>0.0</v>
      </c>
      <c r="I374" s="22">
        <v>253.0</v>
      </c>
      <c r="J374" s="22">
        <v>185.0</v>
      </c>
      <c r="K374" s="22">
        <v>59.0</v>
      </c>
      <c r="L374" s="22" t="s">
        <v>71</v>
      </c>
      <c r="M374" s="22">
        <v>26.0</v>
      </c>
      <c r="N374" s="22">
        <v>131.0</v>
      </c>
      <c r="O374" s="22">
        <v>76.0</v>
      </c>
      <c r="P374" s="22">
        <v>0.0</v>
      </c>
      <c r="Q374" s="22">
        <v>12.0</v>
      </c>
      <c r="R374" s="22">
        <v>0.0</v>
      </c>
      <c r="S374" s="22">
        <v>0.0</v>
      </c>
      <c r="T374" s="24" t="s">
        <v>37</v>
      </c>
      <c r="U374" s="58"/>
      <c r="V374" s="26" t="s">
        <v>83</v>
      </c>
      <c r="W374" s="27">
        <v>0.08055555555555556</v>
      </c>
      <c r="X374" s="28" t="s">
        <v>84</v>
      </c>
      <c r="Y374" s="29"/>
    </row>
    <row r="375">
      <c r="A375" s="30">
        <v>365.0</v>
      </c>
      <c r="B375" s="31" t="s">
        <v>27</v>
      </c>
      <c r="C375" s="32" t="str">
        <f>HYPERLINK("https://azurlane.koumakan.jp/Hazelwood","Hazelwood")</f>
        <v>Hazelwood</v>
      </c>
      <c r="D375" s="33" t="s">
        <v>36</v>
      </c>
      <c r="E375" s="33">
        <v>2104.0</v>
      </c>
      <c r="F375" s="33">
        <v>87.0</v>
      </c>
      <c r="G375" s="33">
        <v>287.0</v>
      </c>
      <c r="H375" s="33">
        <v>0.0</v>
      </c>
      <c r="I375" s="33">
        <v>176.0</v>
      </c>
      <c r="J375" s="33">
        <v>206.0</v>
      </c>
      <c r="K375" s="33">
        <v>206.0</v>
      </c>
      <c r="L375" s="33" t="s">
        <v>29</v>
      </c>
      <c r="M375" s="33">
        <v>42.0</v>
      </c>
      <c r="N375" s="33">
        <v>222.0</v>
      </c>
      <c r="O375" s="33">
        <v>75.0</v>
      </c>
      <c r="P375" s="33">
        <v>222.0</v>
      </c>
      <c r="Q375" s="33">
        <v>8.0</v>
      </c>
      <c r="R375" s="33">
        <v>0.0</v>
      </c>
      <c r="S375" s="33">
        <v>0.0</v>
      </c>
      <c r="T375" s="35" t="s">
        <v>37</v>
      </c>
      <c r="U375" s="57"/>
      <c r="V375" s="37" t="s">
        <v>219</v>
      </c>
      <c r="W375" s="102"/>
      <c r="X375" s="39" t="s">
        <v>156</v>
      </c>
      <c r="Y375" s="40"/>
    </row>
    <row r="376">
      <c r="A376" s="19">
        <v>366.0</v>
      </c>
      <c r="B376" s="20" t="s">
        <v>52</v>
      </c>
      <c r="C376" s="21" t="str">
        <f>HYPERLINK("https://azurlane.koumakan.jp/Concord","Concord")</f>
        <v>Concord</v>
      </c>
      <c r="D376" s="22" t="s">
        <v>36</v>
      </c>
      <c r="E376" s="22">
        <v>3378.0</v>
      </c>
      <c r="F376" s="22">
        <v>148.0</v>
      </c>
      <c r="G376" s="22">
        <v>218.0</v>
      </c>
      <c r="H376" s="22">
        <v>0.0</v>
      </c>
      <c r="I376" s="22">
        <v>301.0</v>
      </c>
      <c r="J376" s="22">
        <v>188.0</v>
      </c>
      <c r="K376" s="22">
        <v>120.0</v>
      </c>
      <c r="L376" s="22" t="s">
        <v>29</v>
      </c>
      <c r="M376" s="22">
        <v>35.0</v>
      </c>
      <c r="N376" s="22">
        <v>156.0</v>
      </c>
      <c r="O376" s="22">
        <v>67.0</v>
      </c>
      <c r="P376" s="22">
        <v>84.0</v>
      </c>
      <c r="Q376" s="22">
        <v>9.0</v>
      </c>
      <c r="R376" s="22">
        <v>0.0</v>
      </c>
      <c r="S376" s="22">
        <v>0.0</v>
      </c>
      <c r="T376" s="24" t="s">
        <v>37</v>
      </c>
      <c r="U376" s="58"/>
      <c r="V376" s="75" t="s">
        <v>29</v>
      </c>
      <c r="W376" s="76">
        <v>0.04513888888888889</v>
      </c>
      <c r="X376" s="54"/>
      <c r="Y376" s="29"/>
    </row>
    <row r="377">
      <c r="A377" s="30">
        <v>367.0</v>
      </c>
      <c r="B377" s="31" t="s">
        <v>126</v>
      </c>
      <c r="C377" s="32" t="str">
        <f>HYPERLINK("https://azurlane.koumakan.jp/Amagi","Amagi")</f>
        <v>Amagi</v>
      </c>
      <c r="D377" s="33" t="s">
        <v>32</v>
      </c>
      <c r="E377" s="33">
        <v>7837.0</v>
      </c>
      <c r="F377" s="33">
        <v>425.0</v>
      </c>
      <c r="G377" s="33">
        <v>216.0</v>
      </c>
      <c r="H377" s="33">
        <v>0.0</v>
      </c>
      <c r="I377" s="33">
        <v>191.0</v>
      </c>
      <c r="J377" s="33">
        <v>150.0</v>
      </c>
      <c r="K377" s="33">
        <v>42.0</v>
      </c>
      <c r="L377" s="33" t="s">
        <v>71</v>
      </c>
      <c r="M377" s="33">
        <v>30.0</v>
      </c>
      <c r="N377" s="33">
        <v>70.0</v>
      </c>
      <c r="O377" s="33">
        <v>23.0</v>
      </c>
      <c r="P377" s="33">
        <v>0.0</v>
      </c>
      <c r="Q377" s="33">
        <v>15.0</v>
      </c>
      <c r="R377" s="33">
        <v>0.0</v>
      </c>
      <c r="S377" s="33">
        <v>0.0</v>
      </c>
      <c r="T377" s="35" t="s">
        <v>143</v>
      </c>
      <c r="U377" s="57"/>
      <c r="V377" s="37" t="s">
        <v>76</v>
      </c>
      <c r="W377" s="38">
        <v>0.1840277777777778</v>
      </c>
      <c r="X377" s="39" t="s">
        <v>169</v>
      </c>
      <c r="Y377" s="40"/>
    </row>
    <row r="378">
      <c r="A378" s="19">
        <v>368.0</v>
      </c>
      <c r="B378" s="20" t="s">
        <v>82</v>
      </c>
      <c r="C378" s="21" t="str">
        <f>HYPERLINK("https://azurlane.koumakan.jp/Kaga_(Battleship)","Kaga (BB)")</f>
        <v>Kaga (BB)</v>
      </c>
      <c r="D378" s="22" t="s">
        <v>32</v>
      </c>
      <c r="E378" s="22">
        <v>8501.0</v>
      </c>
      <c r="F378" s="22">
        <v>429.0</v>
      </c>
      <c r="G378" s="22">
        <v>220.0</v>
      </c>
      <c r="H378" s="22">
        <v>0.0</v>
      </c>
      <c r="I378" s="22">
        <v>191.0</v>
      </c>
      <c r="J378" s="22">
        <v>151.0</v>
      </c>
      <c r="K378" s="22">
        <v>40.0</v>
      </c>
      <c r="L378" s="22" t="s">
        <v>83</v>
      </c>
      <c r="M378" s="22">
        <v>26.0</v>
      </c>
      <c r="N378" s="22">
        <v>73.0</v>
      </c>
      <c r="O378" s="22">
        <v>42.0</v>
      </c>
      <c r="P378" s="22">
        <v>0.0</v>
      </c>
      <c r="Q378" s="22">
        <v>15.0</v>
      </c>
      <c r="R378" s="22">
        <v>0.0</v>
      </c>
      <c r="S378" s="22">
        <v>0.0</v>
      </c>
      <c r="T378" s="24" t="s">
        <v>143</v>
      </c>
      <c r="U378" s="58"/>
      <c r="V378" s="75" t="s">
        <v>76</v>
      </c>
      <c r="W378" s="76">
        <v>0.1875</v>
      </c>
      <c r="X378" s="28" t="s">
        <v>251</v>
      </c>
      <c r="Y378" s="29"/>
    </row>
    <row r="379">
      <c r="A379" s="30">
        <v>369.0</v>
      </c>
      <c r="B379" s="31" t="s">
        <v>27</v>
      </c>
      <c r="C379" s="32" t="str">
        <f>HYPERLINK("https://azurlane.koumakan.jp/Hatakaze","Hatakaze")</f>
        <v>Hatakaze</v>
      </c>
      <c r="D379" s="33" t="s">
        <v>36</v>
      </c>
      <c r="E379" s="33">
        <v>1599.0</v>
      </c>
      <c r="F379" s="33">
        <v>61.0</v>
      </c>
      <c r="G379" s="33">
        <v>409.0</v>
      </c>
      <c r="H379" s="33">
        <v>0.0</v>
      </c>
      <c r="I379" s="33">
        <v>142.0</v>
      </c>
      <c r="J379" s="33">
        <v>205.0</v>
      </c>
      <c r="K379" s="33">
        <v>250.0</v>
      </c>
      <c r="L379" s="33" t="s">
        <v>29</v>
      </c>
      <c r="M379" s="33">
        <v>44.0</v>
      </c>
      <c r="N379" s="33">
        <v>206.0</v>
      </c>
      <c r="O379" s="33">
        <v>87.0</v>
      </c>
      <c r="P379" s="33">
        <v>192.0</v>
      </c>
      <c r="Q379" s="33">
        <v>7.0</v>
      </c>
      <c r="R379" s="33">
        <v>0.0</v>
      </c>
      <c r="S379" s="33">
        <v>0.0</v>
      </c>
      <c r="T379" s="35" t="s">
        <v>143</v>
      </c>
      <c r="U379" s="57"/>
      <c r="V379" s="37" t="s">
        <v>76</v>
      </c>
      <c r="W379" s="38">
        <v>0.013888888888888888</v>
      </c>
      <c r="X379" s="39" t="s">
        <v>252</v>
      </c>
      <c r="Y379" s="40"/>
    </row>
    <row r="380">
      <c r="A380" s="19">
        <v>370.0</v>
      </c>
      <c r="B380" s="20" t="s">
        <v>27</v>
      </c>
      <c r="C380" s="21" t="str">
        <f>HYPERLINK("https://azurlane.koumakan.jp/Makinami","Makinami")</f>
        <v>Makinami</v>
      </c>
      <c r="D380" s="22" t="s">
        <v>28</v>
      </c>
      <c r="E380" s="22">
        <v>2210.0</v>
      </c>
      <c r="F380" s="22">
        <v>71.0</v>
      </c>
      <c r="G380" s="22">
        <v>532.0</v>
      </c>
      <c r="H380" s="22">
        <v>0.0</v>
      </c>
      <c r="I380" s="22">
        <v>159.0</v>
      </c>
      <c r="J380" s="22">
        <v>218.0</v>
      </c>
      <c r="K380" s="22">
        <v>246.0</v>
      </c>
      <c r="L380" s="22" t="s">
        <v>29</v>
      </c>
      <c r="M380" s="22">
        <v>42.0</v>
      </c>
      <c r="N380" s="22">
        <v>212.0</v>
      </c>
      <c r="O380" s="22">
        <v>40.0</v>
      </c>
      <c r="P380" s="22">
        <v>196.0</v>
      </c>
      <c r="Q380" s="22">
        <v>9.0</v>
      </c>
      <c r="R380" s="22">
        <v>0.0</v>
      </c>
      <c r="S380" s="22">
        <v>0.0</v>
      </c>
      <c r="T380" s="24" t="s">
        <v>143</v>
      </c>
      <c r="U380" s="58"/>
      <c r="V380" s="26" t="s">
        <v>76</v>
      </c>
      <c r="W380" s="65"/>
      <c r="X380" s="28" t="s">
        <v>253</v>
      </c>
      <c r="Y380" s="29"/>
    </row>
    <row r="381">
      <c r="A381" s="30">
        <v>371.0</v>
      </c>
      <c r="B381" s="31" t="s">
        <v>52</v>
      </c>
      <c r="C381" s="32" t="str">
        <f>HYPERLINK("https://azurlane.koumakan.jp/Sirius","Sirius")</f>
        <v>Sirius</v>
      </c>
      <c r="D381" s="33" t="s">
        <v>32</v>
      </c>
      <c r="E381" s="33">
        <v>3831.0</v>
      </c>
      <c r="F381" s="33">
        <v>153.0</v>
      </c>
      <c r="G381" s="33">
        <v>163.0</v>
      </c>
      <c r="H381" s="33">
        <v>0.0</v>
      </c>
      <c r="I381" s="33">
        <v>393.0</v>
      </c>
      <c r="J381" s="33">
        <v>185.0</v>
      </c>
      <c r="K381" s="33">
        <v>114.0</v>
      </c>
      <c r="L381" s="33" t="s">
        <v>29</v>
      </c>
      <c r="M381" s="33">
        <v>32.0</v>
      </c>
      <c r="N381" s="33">
        <v>173.0</v>
      </c>
      <c r="O381" s="33">
        <v>70.0</v>
      </c>
      <c r="P381" s="33">
        <v>166.0</v>
      </c>
      <c r="Q381" s="33">
        <v>11.0</v>
      </c>
      <c r="R381" s="33">
        <v>0.0</v>
      </c>
      <c r="S381" s="33">
        <v>0.0</v>
      </c>
      <c r="T381" s="35" t="s">
        <v>104</v>
      </c>
      <c r="U381" s="57"/>
      <c r="V381" s="61" t="s">
        <v>29</v>
      </c>
      <c r="W381" s="62">
        <v>0.03819444444444445</v>
      </c>
      <c r="X381" s="39" t="s">
        <v>138</v>
      </c>
      <c r="Y381" s="40"/>
    </row>
    <row r="382">
      <c r="A382" s="77">
        <v>372.0</v>
      </c>
      <c r="B382" s="78" t="s">
        <v>52</v>
      </c>
      <c r="C382" s="79" t="str">
        <f>HYPERLINK("https://azurlane.koumakan.jp/Curacoa","Curacoa")</f>
        <v>Curacoa</v>
      </c>
      <c r="D382" s="26" t="s">
        <v>36</v>
      </c>
      <c r="E382" s="22">
        <v>3050.0</v>
      </c>
      <c r="F382" s="22">
        <v>136.0</v>
      </c>
      <c r="G382" s="22">
        <v>0.0</v>
      </c>
      <c r="H382" s="22">
        <v>0.0</v>
      </c>
      <c r="I382" s="22">
        <v>157.0</v>
      </c>
      <c r="J382" s="22">
        <v>185.0</v>
      </c>
      <c r="K382" s="22">
        <v>109.0</v>
      </c>
      <c r="L382" s="22" t="s">
        <v>29</v>
      </c>
      <c r="M382" s="22">
        <v>29.0</v>
      </c>
      <c r="N382" s="22">
        <v>173.0</v>
      </c>
      <c r="O382" s="22">
        <v>24.0</v>
      </c>
      <c r="P382" s="22">
        <v>54.0</v>
      </c>
      <c r="Q382" s="22">
        <v>9.0</v>
      </c>
      <c r="R382" s="22">
        <v>0.0</v>
      </c>
      <c r="S382" s="22">
        <v>0.0</v>
      </c>
      <c r="T382" s="24" t="s">
        <v>104</v>
      </c>
      <c r="U382" s="58"/>
      <c r="V382" s="26" t="s">
        <v>29</v>
      </c>
      <c r="W382" s="27">
        <v>0.04652777777777778</v>
      </c>
      <c r="X382" s="28" t="s">
        <v>254</v>
      </c>
      <c r="Y382" s="29"/>
    </row>
    <row r="383" ht="15.75" customHeight="1">
      <c r="A383" s="111">
        <v>372.1</v>
      </c>
      <c r="B383" s="112" t="s">
        <v>52</v>
      </c>
      <c r="C383" s="113" t="str">
        <f>HYPERLINK("https://azurlane.koumakan.jp/Curacoa#Retrofit","Curacoa (R)")</f>
        <v>Curacoa (R)</v>
      </c>
      <c r="D383" s="114" t="s">
        <v>28</v>
      </c>
      <c r="E383" s="108">
        <v>3290.0</v>
      </c>
      <c r="F383" s="108">
        <v>176.0</v>
      </c>
      <c r="G383" s="109">
        <v>0.0</v>
      </c>
      <c r="H383" s="109">
        <v>0.0</v>
      </c>
      <c r="I383" s="108">
        <v>202.0</v>
      </c>
      <c r="J383" s="108">
        <v>185.0</v>
      </c>
      <c r="K383" s="108">
        <v>109.0</v>
      </c>
      <c r="L383" s="109" t="s">
        <v>29</v>
      </c>
      <c r="M383" s="109">
        <v>29.0</v>
      </c>
      <c r="N383" s="108">
        <v>178.0</v>
      </c>
      <c r="O383" s="109">
        <v>24.0</v>
      </c>
      <c r="P383" s="108">
        <v>54.0</v>
      </c>
      <c r="Q383" s="109">
        <v>9.0</v>
      </c>
      <c r="R383" s="109">
        <v>0.0</v>
      </c>
      <c r="S383" s="109">
        <v>0.0</v>
      </c>
      <c r="T383" s="35" t="s">
        <v>104</v>
      </c>
      <c r="U383" s="110" t="s">
        <v>42</v>
      </c>
      <c r="W383" s="56"/>
      <c r="X383" s="95"/>
      <c r="Y383" s="74"/>
    </row>
    <row r="384">
      <c r="A384" s="77">
        <v>373.0</v>
      </c>
      <c r="B384" s="78" t="s">
        <v>52</v>
      </c>
      <c r="C384" s="79" t="str">
        <f>HYPERLINK("https://azurlane.koumakan.jp/Curlew","Curlew")</f>
        <v>Curlew</v>
      </c>
      <c r="D384" s="26" t="s">
        <v>36</v>
      </c>
      <c r="E384" s="22">
        <v>2854.0</v>
      </c>
      <c r="F384" s="22">
        <v>130.0</v>
      </c>
      <c r="G384" s="22">
        <v>0.0</v>
      </c>
      <c r="H384" s="22">
        <v>0.0</v>
      </c>
      <c r="I384" s="22">
        <v>182.0</v>
      </c>
      <c r="J384" s="22">
        <v>193.0</v>
      </c>
      <c r="K384" s="22">
        <v>109.0</v>
      </c>
      <c r="L384" s="22" t="s">
        <v>29</v>
      </c>
      <c r="M384" s="22">
        <v>29.0</v>
      </c>
      <c r="N384" s="22">
        <v>170.0</v>
      </c>
      <c r="O384" s="22">
        <v>45.0</v>
      </c>
      <c r="P384" s="22">
        <v>54.0</v>
      </c>
      <c r="Q384" s="22">
        <v>9.0</v>
      </c>
      <c r="R384" s="22">
        <v>0.0</v>
      </c>
      <c r="S384" s="22">
        <v>0.0</v>
      </c>
      <c r="T384" s="24" t="s">
        <v>104</v>
      </c>
      <c r="U384" s="58"/>
      <c r="V384" s="26" t="s">
        <v>29</v>
      </c>
      <c r="W384" s="27">
        <v>0.04652777777777778</v>
      </c>
      <c r="X384" s="28" t="s">
        <v>254</v>
      </c>
      <c r="Y384" s="29"/>
    </row>
    <row r="385">
      <c r="A385" s="115">
        <v>373.1</v>
      </c>
      <c r="B385" s="112" t="s">
        <v>52</v>
      </c>
      <c r="C385" s="116" t="str">
        <f>HYPERLINK("https://azurlane.koumakan.jp/Curlew#Retrofit","Curlew (R)")</f>
        <v>Curlew (R)</v>
      </c>
      <c r="D385" s="114" t="s">
        <v>28</v>
      </c>
      <c r="E385" s="117">
        <v>3094.0</v>
      </c>
      <c r="F385" s="117">
        <v>170.0</v>
      </c>
      <c r="G385" s="118">
        <v>0.0</v>
      </c>
      <c r="H385" s="118">
        <v>0.0</v>
      </c>
      <c r="I385" s="117">
        <v>227.0</v>
      </c>
      <c r="J385" s="117">
        <v>193.0</v>
      </c>
      <c r="K385" s="117">
        <v>109.0</v>
      </c>
      <c r="L385" s="118" t="s">
        <v>29</v>
      </c>
      <c r="M385" s="118">
        <v>29.0</v>
      </c>
      <c r="N385" s="117">
        <v>175.0</v>
      </c>
      <c r="O385" s="118">
        <v>45.0</v>
      </c>
      <c r="P385" s="117">
        <v>54.0</v>
      </c>
      <c r="Q385" s="118">
        <v>9.0</v>
      </c>
      <c r="R385" s="118">
        <v>0.0</v>
      </c>
      <c r="S385" s="118">
        <v>0.0</v>
      </c>
      <c r="T385" s="35" t="s">
        <v>104</v>
      </c>
      <c r="U385" s="110" t="s">
        <v>42</v>
      </c>
      <c r="W385" s="56"/>
      <c r="X385" s="47"/>
      <c r="Y385" s="48"/>
    </row>
    <row r="386">
      <c r="A386" s="77">
        <v>374.0</v>
      </c>
      <c r="B386" s="78" t="s">
        <v>27</v>
      </c>
      <c r="C386" s="79" t="str">
        <f>HYPERLINK("https://azurlane.koumakan.jp/Kimberly","Kimberly")</f>
        <v>Kimberly</v>
      </c>
      <c r="D386" s="26" t="s">
        <v>36</v>
      </c>
      <c r="E386" s="22">
        <v>2104.0</v>
      </c>
      <c r="F386" s="22">
        <v>84.0</v>
      </c>
      <c r="G386" s="22">
        <v>287.0</v>
      </c>
      <c r="H386" s="22">
        <v>0.0</v>
      </c>
      <c r="I386" s="22">
        <v>186.0</v>
      </c>
      <c r="J386" s="22">
        <v>204.0</v>
      </c>
      <c r="K386" s="22">
        <v>206.0</v>
      </c>
      <c r="L386" s="22" t="s">
        <v>29</v>
      </c>
      <c r="M386" s="22">
        <v>42.0</v>
      </c>
      <c r="N386" s="22">
        <v>224.0</v>
      </c>
      <c r="O386" s="22">
        <v>77.0</v>
      </c>
      <c r="P386" s="22">
        <v>209.0</v>
      </c>
      <c r="Q386" s="22">
        <v>8.0</v>
      </c>
      <c r="R386" s="22">
        <v>0.0</v>
      </c>
      <c r="S386" s="22">
        <v>0.0</v>
      </c>
      <c r="T386" s="24" t="s">
        <v>37</v>
      </c>
      <c r="U386" s="58"/>
      <c r="V386" s="26" t="s">
        <v>76</v>
      </c>
      <c r="W386" s="27">
        <v>0.019444444444444445</v>
      </c>
      <c r="X386" s="28" t="s">
        <v>254</v>
      </c>
      <c r="Y386" s="29"/>
    </row>
    <row r="387">
      <c r="A387" s="49">
        <v>375.0</v>
      </c>
      <c r="B387" s="50" t="s">
        <v>27</v>
      </c>
      <c r="C387" s="51" t="str">
        <f>HYPERLINK("https://azurlane.koumakan.jp/Mullany","Mullany")</f>
        <v>Mullany</v>
      </c>
      <c r="D387" s="37" t="s">
        <v>28</v>
      </c>
      <c r="E387" s="33">
        <v>2167.0</v>
      </c>
      <c r="F387" s="33">
        <v>91.0</v>
      </c>
      <c r="G387" s="33">
        <v>295.0</v>
      </c>
      <c r="H387" s="33">
        <v>0.0</v>
      </c>
      <c r="I387" s="33">
        <v>176.0</v>
      </c>
      <c r="J387" s="33">
        <v>209.0</v>
      </c>
      <c r="K387" s="33">
        <v>206.0</v>
      </c>
      <c r="L387" s="33" t="s">
        <v>29</v>
      </c>
      <c r="M387" s="33">
        <v>42.0</v>
      </c>
      <c r="N387" s="33">
        <v>221.0</v>
      </c>
      <c r="O387" s="33">
        <v>89.0</v>
      </c>
      <c r="P387" s="33">
        <v>215.0</v>
      </c>
      <c r="Q387" s="33">
        <v>9.0</v>
      </c>
      <c r="R387" s="33">
        <v>0.0</v>
      </c>
      <c r="S387" s="33">
        <v>0.0</v>
      </c>
      <c r="T387" s="35" t="s">
        <v>37</v>
      </c>
      <c r="U387" s="57"/>
      <c r="V387" s="37" t="s">
        <v>76</v>
      </c>
      <c r="W387" s="38">
        <v>0.019444444444444445</v>
      </c>
      <c r="X387" s="39" t="s">
        <v>254</v>
      </c>
      <c r="Y387" s="40"/>
    </row>
    <row r="388">
      <c r="A388" s="77">
        <v>376.0</v>
      </c>
      <c r="B388" s="78" t="s">
        <v>91</v>
      </c>
      <c r="C388" s="79" t="str">
        <f>HYPERLINK("https://azurlane.koumakan.jp/Chaser","Chaser")</f>
        <v>Chaser</v>
      </c>
      <c r="D388" s="26" t="s">
        <v>28</v>
      </c>
      <c r="E388" s="22">
        <v>4819.0</v>
      </c>
      <c r="F388" s="22">
        <v>0.0</v>
      </c>
      <c r="G388" s="22">
        <v>0.0</v>
      </c>
      <c r="H388" s="22">
        <v>303.0</v>
      </c>
      <c r="I388" s="22">
        <v>263.0</v>
      </c>
      <c r="J388" s="22">
        <v>188.0</v>
      </c>
      <c r="K388" s="22">
        <v>64.0</v>
      </c>
      <c r="L388" s="22" t="s">
        <v>71</v>
      </c>
      <c r="M388" s="22">
        <v>18.0</v>
      </c>
      <c r="N388" s="22">
        <v>89.0</v>
      </c>
      <c r="O388" s="22">
        <v>82.0</v>
      </c>
      <c r="P388" s="22">
        <v>146.0</v>
      </c>
      <c r="Q388" s="22">
        <v>11.0</v>
      </c>
      <c r="R388" s="22">
        <v>0.0</v>
      </c>
      <c r="S388" s="22">
        <v>0.0</v>
      </c>
      <c r="T388" s="24" t="s">
        <v>104</v>
      </c>
      <c r="U388" s="58"/>
      <c r="V388" s="75" t="s">
        <v>191</v>
      </c>
      <c r="W388" s="76">
        <v>0.09722222222222222</v>
      </c>
      <c r="X388" s="28" t="s">
        <v>254</v>
      </c>
      <c r="Y388" s="29"/>
    </row>
    <row r="389">
      <c r="A389" s="49">
        <v>377.0</v>
      </c>
      <c r="B389" s="50" t="s">
        <v>91</v>
      </c>
      <c r="C389" s="51" t="str">
        <f>HYPERLINK("https://azurlane.koumakan.jp/Independence","Independence")</f>
        <v>Independence</v>
      </c>
      <c r="D389" s="37" t="s">
        <v>28</v>
      </c>
      <c r="E389" s="33">
        <v>4910.0</v>
      </c>
      <c r="F389" s="33">
        <v>0.0</v>
      </c>
      <c r="G389" s="33">
        <v>0.0</v>
      </c>
      <c r="H389" s="33">
        <v>314.0</v>
      </c>
      <c r="I389" s="33">
        <v>274.0</v>
      </c>
      <c r="J389" s="33">
        <v>185.0</v>
      </c>
      <c r="K389" s="33">
        <v>85.0</v>
      </c>
      <c r="L389" s="33" t="s">
        <v>71</v>
      </c>
      <c r="M389" s="33">
        <v>31.0</v>
      </c>
      <c r="N389" s="33">
        <v>91.0</v>
      </c>
      <c r="O389" s="33">
        <v>78.0</v>
      </c>
      <c r="P389" s="33">
        <v>110.0</v>
      </c>
      <c r="Q389" s="33">
        <v>11.0</v>
      </c>
      <c r="R389" s="33">
        <v>0.0</v>
      </c>
      <c r="S389" s="33">
        <v>0.0</v>
      </c>
      <c r="T389" s="35" t="s">
        <v>37</v>
      </c>
      <c r="U389" s="57"/>
      <c r="V389" s="37" t="s">
        <v>76</v>
      </c>
      <c r="W389" s="52"/>
      <c r="X389" s="39" t="s">
        <v>255</v>
      </c>
      <c r="Y389" s="40"/>
    </row>
    <row r="390">
      <c r="A390" s="41">
        <v>377.1</v>
      </c>
      <c r="B390" s="42" t="s">
        <v>91</v>
      </c>
      <c r="C390" s="99" t="s">
        <v>256</v>
      </c>
      <c r="D390" s="24" t="s">
        <v>32</v>
      </c>
      <c r="E390" s="24">
        <v>5120.0</v>
      </c>
      <c r="F390" s="24">
        <v>0.0</v>
      </c>
      <c r="G390" s="24">
        <v>0.0</v>
      </c>
      <c r="H390" s="24">
        <v>334.0</v>
      </c>
      <c r="I390" s="24">
        <v>344.0</v>
      </c>
      <c r="J390" s="24">
        <v>205.0</v>
      </c>
      <c r="K390" s="24">
        <v>85.0</v>
      </c>
      <c r="L390" s="24" t="s">
        <v>71</v>
      </c>
      <c r="M390" s="24">
        <v>31.0</v>
      </c>
      <c r="N390" s="24">
        <v>91.0</v>
      </c>
      <c r="O390" s="24">
        <v>78.0</v>
      </c>
      <c r="P390" s="24">
        <v>110.0</v>
      </c>
      <c r="Q390" s="24">
        <v>11.0</v>
      </c>
      <c r="R390" s="24">
        <v>0.0</v>
      </c>
      <c r="S390" s="24">
        <v>0.0</v>
      </c>
      <c r="T390" s="24" t="s">
        <v>37</v>
      </c>
      <c r="U390" s="100" t="s">
        <v>42</v>
      </c>
      <c r="W390" s="60"/>
      <c r="X390" s="47"/>
      <c r="Y390" s="48"/>
    </row>
    <row r="391">
      <c r="A391" s="49">
        <v>378.0</v>
      </c>
      <c r="B391" s="50" t="s">
        <v>95</v>
      </c>
      <c r="C391" s="51" t="str">
        <f>HYPERLINK("https://azurlane.koumakan.jp/Shangri-La","Shangri-La")</f>
        <v>Shangri-La</v>
      </c>
      <c r="D391" s="37" t="s">
        <v>32</v>
      </c>
      <c r="E391" s="33">
        <v>6804.0</v>
      </c>
      <c r="F391" s="33">
        <v>0.0</v>
      </c>
      <c r="G391" s="33">
        <v>0.0</v>
      </c>
      <c r="H391" s="33">
        <v>436.0</v>
      </c>
      <c r="I391" s="33">
        <v>338.0</v>
      </c>
      <c r="J391" s="33">
        <v>132.0</v>
      </c>
      <c r="K391" s="33">
        <v>56.0</v>
      </c>
      <c r="L391" s="33" t="s">
        <v>71</v>
      </c>
      <c r="M391" s="33">
        <v>33.0</v>
      </c>
      <c r="N391" s="33">
        <v>93.0</v>
      </c>
      <c r="O391" s="33">
        <v>83.0</v>
      </c>
      <c r="P391" s="33">
        <v>0.0</v>
      </c>
      <c r="Q391" s="33">
        <v>13.0</v>
      </c>
      <c r="R391" s="33">
        <v>0.0</v>
      </c>
      <c r="S391" s="33">
        <v>0.0</v>
      </c>
      <c r="T391" s="35" t="s">
        <v>37</v>
      </c>
      <c r="U391" s="57"/>
      <c r="V391" s="37" t="s">
        <v>92</v>
      </c>
      <c r="W391" s="38">
        <v>0.1840277777777778</v>
      </c>
      <c r="X391" s="39" t="s">
        <v>257</v>
      </c>
      <c r="Y391" s="40"/>
    </row>
    <row r="392">
      <c r="A392" s="77">
        <v>379.0</v>
      </c>
      <c r="B392" s="78" t="s">
        <v>27</v>
      </c>
      <c r="C392" s="79" t="str">
        <f>HYPERLINK("https://azurlane.koumakan.jp/Z2","Z2")</f>
        <v>Z2</v>
      </c>
      <c r="D392" s="26" t="s">
        <v>28</v>
      </c>
      <c r="E392" s="22">
        <v>2102.0</v>
      </c>
      <c r="F392" s="22">
        <v>85.0</v>
      </c>
      <c r="G392" s="22">
        <v>438.0</v>
      </c>
      <c r="H392" s="22">
        <v>0.0</v>
      </c>
      <c r="I392" s="22">
        <v>157.0</v>
      </c>
      <c r="J392" s="22">
        <v>209.0</v>
      </c>
      <c r="K392" s="22">
        <v>192.0</v>
      </c>
      <c r="L392" s="22" t="s">
        <v>29</v>
      </c>
      <c r="M392" s="22">
        <v>43.0</v>
      </c>
      <c r="N392" s="22">
        <v>197.0</v>
      </c>
      <c r="O392" s="22">
        <v>44.0</v>
      </c>
      <c r="P392" s="22">
        <v>200.0</v>
      </c>
      <c r="Q392" s="22">
        <v>9.0</v>
      </c>
      <c r="R392" s="22">
        <v>0.0</v>
      </c>
      <c r="S392" s="22">
        <v>0.0</v>
      </c>
      <c r="T392" s="24" t="s">
        <v>193</v>
      </c>
      <c r="U392" s="58"/>
      <c r="V392" s="75" t="s">
        <v>76</v>
      </c>
      <c r="W392" s="76">
        <v>0.02013888888888889</v>
      </c>
      <c r="X392" s="28" t="s">
        <v>258</v>
      </c>
      <c r="Y392" s="29"/>
    </row>
    <row r="393">
      <c r="A393" s="49">
        <v>380.0</v>
      </c>
      <c r="B393" s="50" t="s">
        <v>95</v>
      </c>
      <c r="C393" s="51" t="str">
        <f>HYPERLINK("https://azurlane.koumakan.jp/Bunker_Hill","Bunker Hill")</f>
        <v>Bunker Hill</v>
      </c>
      <c r="D393" s="37" t="s">
        <v>32</v>
      </c>
      <c r="E393" s="33">
        <v>6767.0</v>
      </c>
      <c r="F393" s="33">
        <v>0.0</v>
      </c>
      <c r="G393" s="33">
        <v>0.0</v>
      </c>
      <c r="H393" s="33">
        <v>430.0</v>
      </c>
      <c r="I393" s="33">
        <v>316.0</v>
      </c>
      <c r="J393" s="33">
        <v>132.0</v>
      </c>
      <c r="K393" s="33">
        <v>56.0</v>
      </c>
      <c r="L393" s="33" t="s">
        <v>71</v>
      </c>
      <c r="M393" s="33">
        <v>33.0</v>
      </c>
      <c r="N393" s="33">
        <v>85.0</v>
      </c>
      <c r="O393" s="33">
        <v>35.0</v>
      </c>
      <c r="P393" s="33">
        <v>0.0</v>
      </c>
      <c r="Q393" s="33">
        <v>13.0</v>
      </c>
      <c r="R393" s="33">
        <v>0.0</v>
      </c>
      <c r="S393" s="33">
        <v>0.0</v>
      </c>
      <c r="T393" s="35" t="s">
        <v>37</v>
      </c>
      <c r="U393" s="36" t="s">
        <v>259</v>
      </c>
      <c r="V393" s="37" t="s">
        <v>39</v>
      </c>
      <c r="W393" s="52"/>
      <c r="X393" s="53"/>
      <c r="Y393" s="40"/>
    </row>
    <row r="394">
      <c r="A394" s="77">
        <v>381.0</v>
      </c>
      <c r="B394" s="78" t="s">
        <v>260</v>
      </c>
      <c r="C394" s="79" t="str">
        <f>HYPERLINK("https://azurlane.koumakan.jp/I-13","I-13")</f>
        <v>I-13</v>
      </c>
      <c r="D394" s="26" t="s">
        <v>32</v>
      </c>
      <c r="E394" s="22">
        <v>2722.0</v>
      </c>
      <c r="F394" s="22">
        <v>50.0</v>
      </c>
      <c r="G394" s="22">
        <v>520.0</v>
      </c>
      <c r="H394" s="22">
        <v>256.0</v>
      </c>
      <c r="I394" s="22">
        <v>0.0</v>
      </c>
      <c r="J394" s="22">
        <v>110.0</v>
      </c>
      <c r="K394" s="22">
        <v>38.0</v>
      </c>
      <c r="L394" s="22" t="s">
        <v>29</v>
      </c>
      <c r="M394" s="22">
        <v>13.0</v>
      </c>
      <c r="N394" s="22">
        <v>176.0</v>
      </c>
      <c r="O394" s="22">
        <v>20.0</v>
      </c>
      <c r="P394" s="22">
        <v>0.0</v>
      </c>
      <c r="Q394" s="22">
        <v>7.0</v>
      </c>
      <c r="R394" s="22">
        <v>198.0</v>
      </c>
      <c r="S394" s="22">
        <v>2.0</v>
      </c>
      <c r="T394" s="24" t="s">
        <v>143</v>
      </c>
      <c r="U394" s="58"/>
      <c r="V394" s="26" t="s">
        <v>76</v>
      </c>
      <c r="W394" s="27">
        <v>0.023148148148148147</v>
      </c>
      <c r="X394" s="28" t="s">
        <v>261</v>
      </c>
      <c r="Y394" s="29"/>
    </row>
    <row r="395">
      <c r="A395" s="49">
        <v>382.0</v>
      </c>
      <c r="B395" s="50" t="s">
        <v>66</v>
      </c>
      <c r="C395" s="51" t="str">
        <f>HYPERLINK("https://azurlane.koumakan.jp/Suzuya","Suzuya")</f>
        <v>Suzuya</v>
      </c>
      <c r="D395" s="37" t="s">
        <v>28</v>
      </c>
      <c r="E395" s="33">
        <v>4273.0</v>
      </c>
      <c r="F395" s="33">
        <v>240.0</v>
      </c>
      <c r="G395" s="33">
        <v>215.0</v>
      </c>
      <c r="H395" s="33">
        <v>0.0</v>
      </c>
      <c r="I395" s="33">
        <v>213.0</v>
      </c>
      <c r="J395" s="33">
        <v>182.0</v>
      </c>
      <c r="K395" s="33">
        <v>83.0</v>
      </c>
      <c r="L395" s="33" t="s">
        <v>71</v>
      </c>
      <c r="M395" s="33">
        <v>28.0</v>
      </c>
      <c r="N395" s="33">
        <v>132.0</v>
      </c>
      <c r="O395" s="33">
        <v>15.0</v>
      </c>
      <c r="P395" s="33">
        <v>0.0</v>
      </c>
      <c r="Q395" s="33">
        <v>11.0</v>
      </c>
      <c r="R395" s="33">
        <v>0.0</v>
      </c>
      <c r="S395" s="33">
        <v>0.0</v>
      </c>
      <c r="T395" s="35" t="s">
        <v>143</v>
      </c>
      <c r="U395" s="57"/>
      <c r="V395" s="37" t="s">
        <v>76</v>
      </c>
      <c r="W395" s="38">
        <v>0.075</v>
      </c>
      <c r="X395" s="39" t="s">
        <v>261</v>
      </c>
      <c r="Y395" s="40"/>
    </row>
    <row r="396">
      <c r="A396" s="77">
        <v>383.0</v>
      </c>
      <c r="B396" s="78" t="s">
        <v>126</v>
      </c>
      <c r="C396" s="79" t="str">
        <f>HYPERLINK("https://azurlane.koumakan.jp/Hiei-chan","Hiei-chan")</f>
        <v>Hiei-chan</v>
      </c>
      <c r="D396" s="26" t="s">
        <v>28</v>
      </c>
      <c r="E396" s="22">
        <v>6609.0</v>
      </c>
      <c r="F396" s="22">
        <v>368.0</v>
      </c>
      <c r="G396" s="22">
        <v>170.0</v>
      </c>
      <c r="H396" s="22">
        <v>0.0</v>
      </c>
      <c r="I396" s="22">
        <v>253.0</v>
      </c>
      <c r="J396" s="22">
        <v>162.0</v>
      </c>
      <c r="K396" s="22">
        <v>41.0</v>
      </c>
      <c r="L396" s="22" t="s">
        <v>71</v>
      </c>
      <c r="M396" s="22">
        <v>30.0</v>
      </c>
      <c r="N396" s="22">
        <v>70.0</v>
      </c>
      <c r="O396" s="22">
        <v>37.0</v>
      </c>
      <c r="P396" s="22">
        <v>0.0</v>
      </c>
      <c r="Q396" s="22">
        <v>14.0</v>
      </c>
      <c r="R396" s="22">
        <v>0.0</v>
      </c>
      <c r="S396" s="22">
        <v>0.0</v>
      </c>
      <c r="T396" s="24" t="s">
        <v>143</v>
      </c>
      <c r="U396" s="58"/>
      <c r="V396" s="75" t="s">
        <v>83</v>
      </c>
      <c r="W396" s="76"/>
      <c r="X396" s="28" t="s">
        <v>262</v>
      </c>
      <c r="Y396" s="29"/>
    </row>
    <row r="397">
      <c r="A397" s="49">
        <v>384.0</v>
      </c>
      <c r="B397" s="50" t="s">
        <v>95</v>
      </c>
      <c r="C397" s="51" t="str">
        <f>HYPERLINK("https://azurlane.koumakan.jp/Akagi-chan","Akagi-chan")</f>
        <v>Akagi-chan</v>
      </c>
      <c r="D397" s="37" t="s">
        <v>28</v>
      </c>
      <c r="E397" s="33">
        <v>6395.0</v>
      </c>
      <c r="F397" s="33">
        <v>0.0</v>
      </c>
      <c r="G397" s="33">
        <v>0.0</v>
      </c>
      <c r="H397" s="33">
        <v>399.0</v>
      </c>
      <c r="I397" s="33">
        <v>318.0</v>
      </c>
      <c r="J397" s="33">
        <v>126.0</v>
      </c>
      <c r="K397" s="33">
        <v>56.0</v>
      </c>
      <c r="L397" s="33" t="s">
        <v>71</v>
      </c>
      <c r="M397" s="33">
        <v>31.0</v>
      </c>
      <c r="N397" s="33">
        <v>92.0</v>
      </c>
      <c r="O397" s="33">
        <v>42.0</v>
      </c>
      <c r="P397" s="33">
        <v>0.0</v>
      </c>
      <c r="Q397" s="33">
        <v>12.0</v>
      </c>
      <c r="R397" s="33">
        <v>0.0</v>
      </c>
      <c r="S397" s="33">
        <v>0.0</v>
      </c>
      <c r="T397" s="35" t="s">
        <v>143</v>
      </c>
      <c r="U397" s="57"/>
      <c r="V397" s="37" t="s">
        <v>92</v>
      </c>
      <c r="W397" s="38"/>
      <c r="X397" s="39" t="s">
        <v>262</v>
      </c>
      <c r="Y397" s="40"/>
    </row>
    <row r="398">
      <c r="A398" s="77">
        <v>385.0</v>
      </c>
      <c r="B398" s="78" t="s">
        <v>95</v>
      </c>
      <c r="C398" s="79" t="str">
        <f>HYPERLINK("https://azurlane.koumakan.jp/Zeppy","Zeppy")</f>
        <v>Zeppy</v>
      </c>
      <c r="D398" s="26" t="s">
        <v>28</v>
      </c>
      <c r="E398" s="22">
        <v>7142.0</v>
      </c>
      <c r="F398" s="22">
        <v>177.0</v>
      </c>
      <c r="G398" s="22">
        <v>0.0</v>
      </c>
      <c r="H398" s="22">
        <v>381.0</v>
      </c>
      <c r="I398" s="22">
        <v>314.0</v>
      </c>
      <c r="J398" s="22">
        <v>112.0</v>
      </c>
      <c r="K398" s="22">
        <v>57.0</v>
      </c>
      <c r="L398" s="22" t="s">
        <v>71</v>
      </c>
      <c r="M398" s="22">
        <v>33.0</v>
      </c>
      <c r="N398" s="22">
        <v>87.0</v>
      </c>
      <c r="O398" s="22">
        <v>45.0</v>
      </c>
      <c r="P398" s="22">
        <v>0.0</v>
      </c>
      <c r="Q398" s="22">
        <v>12.0</v>
      </c>
      <c r="R398" s="22">
        <v>0.0</v>
      </c>
      <c r="S398" s="22">
        <v>0.0</v>
      </c>
      <c r="T398" s="24" t="s">
        <v>193</v>
      </c>
      <c r="U398" s="58"/>
      <c r="V398" s="75" t="s">
        <v>92</v>
      </c>
      <c r="W398" s="76"/>
      <c r="X398" s="28" t="s">
        <v>262</v>
      </c>
      <c r="Y398" s="29"/>
    </row>
    <row r="399">
      <c r="A399" s="49">
        <v>386.0</v>
      </c>
      <c r="B399" s="50" t="s">
        <v>242</v>
      </c>
      <c r="C399" s="51" t="str">
        <f>HYPERLINK("https://azurlane.koumakan.jp/U-556","U-556")</f>
        <v>U-556</v>
      </c>
      <c r="D399" s="37" t="s">
        <v>28</v>
      </c>
      <c r="E399" s="37">
        <v>1292.0</v>
      </c>
      <c r="F399" s="37">
        <v>39.0</v>
      </c>
      <c r="G399" s="37">
        <v>505.0</v>
      </c>
      <c r="H399" s="37">
        <v>0.0</v>
      </c>
      <c r="I399" s="37">
        <v>0.0</v>
      </c>
      <c r="J399" s="37">
        <v>85.0</v>
      </c>
      <c r="K399" s="37">
        <v>38.0</v>
      </c>
      <c r="L399" s="37" t="s">
        <v>29</v>
      </c>
      <c r="M399" s="37">
        <v>14.0</v>
      </c>
      <c r="N399" s="37">
        <v>182.0</v>
      </c>
      <c r="O399" s="37">
        <v>45.0</v>
      </c>
      <c r="P399" s="37">
        <v>0.0</v>
      </c>
      <c r="Q399" s="37">
        <v>6.0</v>
      </c>
      <c r="R399" s="37">
        <v>188.0</v>
      </c>
      <c r="S399" s="37">
        <v>2.0</v>
      </c>
      <c r="T399" s="35" t="s">
        <v>193</v>
      </c>
      <c r="U399" s="57"/>
      <c r="V399" s="37" t="s">
        <v>76</v>
      </c>
      <c r="W399" s="38">
        <v>0.009027777777777777</v>
      </c>
      <c r="X399" s="39" t="s">
        <v>204</v>
      </c>
      <c r="Y399" s="40"/>
    </row>
    <row r="400">
      <c r="A400" s="77">
        <v>387.0</v>
      </c>
      <c r="B400" s="78" t="s">
        <v>242</v>
      </c>
      <c r="C400" s="79" t="str">
        <f>HYPERLINK("https://azurlane.koumakan.jp/U-73","U-73")</f>
        <v>U-73</v>
      </c>
      <c r="D400" s="26" t="s">
        <v>28</v>
      </c>
      <c r="E400" s="26">
        <v>1281.0</v>
      </c>
      <c r="F400" s="26">
        <v>46.0</v>
      </c>
      <c r="G400" s="26">
        <v>529.0</v>
      </c>
      <c r="H400" s="26">
        <v>0.0</v>
      </c>
      <c r="I400" s="26">
        <v>0.0</v>
      </c>
      <c r="J400" s="26">
        <v>85.0</v>
      </c>
      <c r="K400" s="26">
        <v>38.0</v>
      </c>
      <c r="L400" s="26" t="s">
        <v>29</v>
      </c>
      <c r="M400" s="26">
        <v>14.0</v>
      </c>
      <c r="N400" s="26">
        <v>171.0</v>
      </c>
      <c r="O400" s="26">
        <v>35.0</v>
      </c>
      <c r="P400" s="26">
        <v>0.0</v>
      </c>
      <c r="Q400" s="26">
        <v>6.0</v>
      </c>
      <c r="R400" s="26">
        <v>188.0</v>
      </c>
      <c r="S400" s="26">
        <v>2.0</v>
      </c>
      <c r="T400" s="24" t="s">
        <v>193</v>
      </c>
      <c r="U400" s="58"/>
      <c r="V400" s="75" t="s">
        <v>76</v>
      </c>
      <c r="W400" s="76">
        <v>0.007638888888888889</v>
      </c>
      <c r="X400" s="28" t="s">
        <v>204</v>
      </c>
      <c r="Y400" s="29"/>
    </row>
    <row r="401">
      <c r="A401" s="49">
        <v>388.0</v>
      </c>
      <c r="B401" s="50" t="s">
        <v>27</v>
      </c>
      <c r="C401" s="51" t="str">
        <f>HYPERLINK("https://azurlane.koumakan.jp/Z36","Z36")</f>
        <v>Z36</v>
      </c>
      <c r="D401" s="37" t="s">
        <v>28</v>
      </c>
      <c r="E401" s="33">
        <v>2143.0</v>
      </c>
      <c r="F401" s="33">
        <v>84.0</v>
      </c>
      <c r="G401" s="33">
        <v>443.0</v>
      </c>
      <c r="H401" s="33">
        <v>0.0</v>
      </c>
      <c r="I401" s="33">
        <v>182.0</v>
      </c>
      <c r="J401" s="33">
        <v>212.0</v>
      </c>
      <c r="K401" s="33">
        <v>205.0</v>
      </c>
      <c r="L401" s="33" t="s">
        <v>29</v>
      </c>
      <c r="M401" s="33">
        <v>43.0</v>
      </c>
      <c r="N401" s="33">
        <v>210.0</v>
      </c>
      <c r="O401" s="33">
        <v>36.0</v>
      </c>
      <c r="P401" s="33">
        <v>203.0</v>
      </c>
      <c r="Q401" s="33">
        <v>9.0</v>
      </c>
      <c r="R401" s="33">
        <v>0.0</v>
      </c>
      <c r="S401" s="33">
        <v>0.0</v>
      </c>
      <c r="T401" s="35" t="s">
        <v>193</v>
      </c>
      <c r="U401" s="57"/>
      <c r="V401" s="37" t="s">
        <v>76</v>
      </c>
      <c r="W401" s="38">
        <v>0.024305555555555556</v>
      </c>
      <c r="X401" s="39" t="s">
        <v>204</v>
      </c>
      <c r="Y401" s="40"/>
    </row>
    <row r="402">
      <c r="A402" s="77">
        <v>389.0</v>
      </c>
      <c r="B402" s="78" t="s">
        <v>27</v>
      </c>
      <c r="C402" s="79" t="str">
        <f>HYPERLINK("https://azurlane.koumakan.jp/Echo","Echo")</f>
        <v>Echo</v>
      </c>
      <c r="D402" s="26" t="s">
        <v>36</v>
      </c>
      <c r="E402" s="22">
        <v>1434.0</v>
      </c>
      <c r="F402" s="22">
        <v>74.0</v>
      </c>
      <c r="G402" s="22">
        <v>365.0</v>
      </c>
      <c r="H402" s="22">
        <v>0.0</v>
      </c>
      <c r="I402" s="22">
        <v>155.0</v>
      </c>
      <c r="J402" s="22">
        <v>196.0</v>
      </c>
      <c r="K402" s="22">
        <v>269.0</v>
      </c>
      <c r="L402" s="22" t="s">
        <v>29</v>
      </c>
      <c r="M402" s="22">
        <v>42.0</v>
      </c>
      <c r="N402" s="22">
        <v>200.0</v>
      </c>
      <c r="O402" s="22">
        <v>65.0</v>
      </c>
      <c r="P402" s="22">
        <v>210.0</v>
      </c>
      <c r="Q402" s="22">
        <v>8.0</v>
      </c>
      <c r="R402" s="22">
        <v>0.0</v>
      </c>
      <c r="S402" s="22">
        <v>0.0</v>
      </c>
      <c r="T402" s="24" t="s">
        <v>104</v>
      </c>
      <c r="U402" s="58"/>
      <c r="V402" s="75" t="s">
        <v>76</v>
      </c>
      <c r="W402" s="76">
        <v>0.019444444444444445</v>
      </c>
      <c r="X402" s="28" t="s">
        <v>263</v>
      </c>
      <c r="Y402" s="29"/>
    </row>
    <row r="403">
      <c r="A403" s="49">
        <v>390.0</v>
      </c>
      <c r="B403" s="50" t="s">
        <v>52</v>
      </c>
      <c r="C403" s="51" t="str">
        <f>HYPERLINK("https://azurlane.koumakan.jp/Lena","Lena")</f>
        <v>Lena</v>
      </c>
      <c r="D403" s="37" t="s">
        <v>28</v>
      </c>
      <c r="E403" s="33">
        <v>3321.0</v>
      </c>
      <c r="F403" s="33">
        <v>169.0</v>
      </c>
      <c r="G403" s="33">
        <v>0.0</v>
      </c>
      <c r="H403" s="33">
        <v>0.0</v>
      </c>
      <c r="I403" s="33">
        <v>323.0</v>
      </c>
      <c r="J403" s="33">
        <v>188.0</v>
      </c>
      <c r="K403" s="33">
        <v>107.0</v>
      </c>
      <c r="L403" s="33" t="s">
        <v>29</v>
      </c>
      <c r="M403" s="33">
        <v>32.0</v>
      </c>
      <c r="N403" s="33">
        <v>177.0</v>
      </c>
      <c r="O403" s="33">
        <v>33.0</v>
      </c>
      <c r="P403" s="33">
        <v>109.0</v>
      </c>
      <c r="Q403" s="33">
        <v>10.0</v>
      </c>
      <c r="R403" s="33">
        <v>0.0</v>
      </c>
      <c r="S403" s="33">
        <v>0.0</v>
      </c>
      <c r="T403" s="35" t="s">
        <v>37</v>
      </c>
      <c r="U403" s="57"/>
      <c r="V403" s="37" t="s">
        <v>29</v>
      </c>
      <c r="W403" s="38">
        <v>0.04861111111111111</v>
      </c>
      <c r="X403" s="53"/>
      <c r="Y403" s="40"/>
    </row>
    <row r="404">
      <c r="A404" s="77">
        <v>391.0</v>
      </c>
      <c r="B404" s="78" t="s">
        <v>52</v>
      </c>
      <c r="C404" s="79" t="str">
        <f>HYPERLINK("https://azurlane.koumakan.jp/Clevelad","Clevelad")</f>
        <v>Clevelad</v>
      </c>
      <c r="D404" s="26" t="s">
        <v>28</v>
      </c>
      <c r="E404" s="22">
        <v>3684.0</v>
      </c>
      <c r="F404" s="22">
        <v>164.0</v>
      </c>
      <c r="G404" s="22">
        <v>0.0</v>
      </c>
      <c r="H404" s="22">
        <v>0.0</v>
      </c>
      <c r="I404" s="22">
        <v>330.0</v>
      </c>
      <c r="J404" s="22">
        <v>183.0</v>
      </c>
      <c r="K404" s="22">
        <v>111.0</v>
      </c>
      <c r="L404" s="22" t="s">
        <v>29</v>
      </c>
      <c r="M404" s="22">
        <v>32.0</v>
      </c>
      <c r="N404" s="22">
        <v>163.0</v>
      </c>
      <c r="O404" s="22">
        <v>71.0</v>
      </c>
      <c r="P404" s="22">
        <v>102.0</v>
      </c>
      <c r="Q404" s="22">
        <v>10.0</v>
      </c>
      <c r="R404" s="22">
        <v>0.0</v>
      </c>
      <c r="S404" s="22">
        <v>0.0</v>
      </c>
      <c r="T404" s="24" t="s">
        <v>37</v>
      </c>
      <c r="U404" s="58"/>
      <c r="V404" s="75" t="s">
        <v>29</v>
      </c>
      <c r="W404" s="76">
        <v>0.05555555555555555</v>
      </c>
      <c r="X404" s="54"/>
      <c r="Y404" s="29"/>
    </row>
    <row r="405">
      <c r="A405" s="49">
        <v>392.0</v>
      </c>
      <c r="B405" s="50" t="s">
        <v>52</v>
      </c>
      <c r="C405" s="51" t="str">
        <f>HYPERLINK("https://azurlane.koumakan.jp/Li%27l_Sandy","Li'l Sandy")</f>
        <v>Li'l Sandy</v>
      </c>
      <c r="D405" s="37" t="s">
        <v>28</v>
      </c>
      <c r="E405" s="33">
        <v>3301.0</v>
      </c>
      <c r="F405" s="33">
        <v>132.0</v>
      </c>
      <c r="G405" s="33">
        <v>163.0</v>
      </c>
      <c r="H405" s="33">
        <v>0.0</v>
      </c>
      <c r="I405" s="33">
        <v>443.0</v>
      </c>
      <c r="J405" s="33">
        <v>185.0</v>
      </c>
      <c r="K405" s="33">
        <v>113.0</v>
      </c>
      <c r="L405" s="33" t="s">
        <v>29</v>
      </c>
      <c r="M405" s="33">
        <v>32.0</v>
      </c>
      <c r="N405" s="33">
        <v>173.0</v>
      </c>
      <c r="O405" s="33">
        <v>85.0</v>
      </c>
      <c r="P405" s="33">
        <v>195.0</v>
      </c>
      <c r="Q405" s="33">
        <v>10.0</v>
      </c>
      <c r="R405" s="33">
        <v>0.0</v>
      </c>
      <c r="S405" s="33">
        <v>0.0</v>
      </c>
      <c r="T405" s="35" t="s">
        <v>37</v>
      </c>
      <c r="U405" s="57"/>
      <c r="V405" s="37" t="s">
        <v>76</v>
      </c>
      <c r="W405" s="38"/>
      <c r="X405" s="39" t="s">
        <v>264</v>
      </c>
      <c r="Y405" s="40"/>
    </row>
    <row r="406">
      <c r="A406" s="41">
        <v>393.0</v>
      </c>
      <c r="B406" s="42" t="s">
        <v>52</v>
      </c>
      <c r="C406" s="43" t="str">
        <f>HYPERLINK("https://azurlane.koumakan.jp/Swiftsure","Swiftsure")</f>
        <v>Swiftsure</v>
      </c>
      <c r="D406" s="24" t="s">
        <v>32</v>
      </c>
      <c r="E406" s="24">
        <v>3884.0</v>
      </c>
      <c r="F406" s="24">
        <v>166.0</v>
      </c>
      <c r="G406" s="24">
        <v>369.0</v>
      </c>
      <c r="H406" s="24">
        <v>0.0</v>
      </c>
      <c r="I406" s="24">
        <v>310.0</v>
      </c>
      <c r="J406" s="24">
        <v>193.0</v>
      </c>
      <c r="K406" s="24">
        <v>113.0</v>
      </c>
      <c r="L406" s="24" t="s">
        <v>29</v>
      </c>
      <c r="M406" s="24">
        <v>32.0</v>
      </c>
      <c r="N406" s="24">
        <v>168.0</v>
      </c>
      <c r="O406" s="24">
        <v>44.0</v>
      </c>
      <c r="P406" s="24">
        <v>150.0</v>
      </c>
      <c r="Q406" s="24">
        <v>11.0</v>
      </c>
      <c r="R406" s="24">
        <v>0.0</v>
      </c>
      <c r="S406" s="24">
        <v>0.0</v>
      </c>
      <c r="T406" s="24" t="s">
        <v>104</v>
      </c>
      <c r="U406" s="45"/>
      <c r="V406" s="24" t="s">
        <v>29</v>
      </c>
      <c r="W406" s="66">
        <v>0.059027777777777776</v>
      </c>
      <c r="X406" s="47"/>
      <c r="Y406" s="48"/>
    </row>
    <row r="407">
      <c r="A407" s="68">
        <v>394.0</v>
      </c>
      <c r="B407" s="69" t="s">
        <v>27</v>
      </c>
      <c r="C407" s="80" t="str">
        <f>HYPERLINK("https://azurlane.koumakan.jp/Le_Malin","Le Malin")</f>
        <v>Le Malin</v>
      </c>
      <c r="D407" s="35" t="s">
        <v>32</v>
      </c>
      <c r="E407" s="35">
        <v>2071.0</v>
      </c>
      <c r="F407" s="35">
        <v>139.0</v>
      </c>
      <c r="G407" s="35">
        <v>276.0</v>
      </c>
      <c r="H407" s="35">
        <v>0.0</v>
      </c>
      <c r="I407" s="35">
        <v>141.0</v>
      </c>
      <c r="J407" s="35">
        <v>209.0</v>
      </c>
      <c r="K407" s="35">
        <v>274.0</v>
      </c>
      <c r="L407" s="35" t="s">
        <v>29</v>
      </c>
      <c r="M407" s="35">
        <v>54.0</v>
      </c>
      <c r="N407" s="35">
        <v>209.0</v>
      </c>
      <c r="O407" s="35">
        <v>51.0</v>
      </c>
      <c r="P407" s="35">
        <v>195.0</v>
      </c>
      <c r="Q407" s="35">
        <v>10.0</v>
      </c>
      <c r="R407" s="35">
        <v>0.0</v>
      </c>
      <c r="S407" s="35">
        <v>0.0</v>
      </c>
      <c r="T407" s="35" t="s">
        <v>247</v>
      </c>
      <c r="U407" s="71"/>
      <c r="V407" s="35" t="s">
        <v>29</v>
      </c>
      <c r="W407" s="72">
        <v>0.022916666666666665</v>
      </c>
      <c r="X407" s="73" t="s">
        <v>265</v>
      </c>
      <c r="Y407" s="74"/>
    </row>
    <row r="408">
      <c r="A408" s="41">
        <v>395.0</v>
      </c>
      <c r="B408" s="42" t="s">
        <v>27</v>
      </c>
      <c r="C408" s="43" t="str">
        <f>HYPERLINK("https://azurlane.koumakan.jp/L%27Opini%C3%A2tre","L'Opiniâtre")</f>
        <v>L'Opiniâtre</v>
      </c>
      <c r="D408" s="24" t="s">
        <v>28</v>
      </c>
      <c r="E408" s="24">
        <v>1815.0</v>
      </c>
      <c r="F408" s="24">
        <v>104.0</v>
      </c>
      <c r="G408" s="24">
        <v>375.0</v>
      </c>
      <c r="H408" s="24">
        <v>0.0</v>
      </c>
      <c r="I408" s="24">
        <v>208.0</v>
      </c>
      <c r="J408" s="24">
        <v>199.0</v>
      </c>
      <c r="K408" s="24">
        <v>230.0</v>
      </c>
      <c r="L408" s="24" t="s">
        <v>29</v>
      </c>
      <c r="M408" s="24">
        <v>42.0</v>
      </c>
      <c r="N408" s="24">
        <v>218.0</v>
      </c>
      <c r="O408" s="24">
        <v>45.0</v>
      </c>
      <c r="P408" s="24">
        <v>196.0</v>
      </c>
      <c r="Q408" s="24">
        <v>9.0</v>
      </c>
      <c r="R408" s="24">
        <v>0.0</v>
      </c>
      <c r="S408" s="24">
        <v>0.0</v>
      </c>
      <c r="T408" s="24" t="s">
        <v>243</v>
      </c>
      <c r="U408" s="45"/>
      <c r="V408" s="24" t="s">
        <v>29</v>
      </c>
      <c r="W408" s="66">
        <v>0.018055555555555554</v>
      </c>
      <c r="X408" s="67" t="s">
        <v>265</v>
      </c>
      <c r="Y408" s="48"/>
    </row>
    <row r="409">
      <c r="A409" s="68">
        <v>396.0</v>
      </c>
      <c r="B409" s="69" t="s">
        <v>242</v>
      </c>
      <c r="C409" s="80" t="str">
        <f>HYPERLINK("https://azurlane.koumakan.jp/I-25","I-25")</f>
        <v>I-25</v>
      </c>
      <c r="D409" s="35" t="s">
        <v>28</v>
      </c>
      <c r="E409" s="35">
        <v>1993.0</v>
      </c>
      <c r="F409" s="35">
        <v>66.0</v>
      </c>
      <c r="G409" s="35">
        <v>520.0</v>
      </c>
      <c r="H409" s="35">
        <v>0.0</v>
      </c>
      <c r="I409" s="35">
        <v>0.0</v>
      </c>
      <c r="J409" s="35">
        <v>71.0</v>
      </c>
      <c r="K409" s="35">
        <v>46.0</v>
      </c>
      <c r="L409" s="35" t="s">
        <v>29</v>
      </c>
      <c r="M409" s="35">
        <v>18.0</v>
      </c>
      <c r="N409" s="35">
        <v>182.0</v>
      </c>
      <c r="O409" s="35">
        <v>25.0</v>
      </c>
      <c r="P409" s="35">
        <v>0.0</v>
      </c>
      <c r="Q409" s="35">
        <v>6.0</v>
      </c>
      <c r="R409" s="35">
        <v>218.0</v>
      </c>
      <c r="S409" s="35">
        <v>2.0</v>
      </c>
      <c r="T409" s="35" t="s">
        <v>143</v>
      </c>
      <c r="U409" s="71"/>
      <c r="V409" s="35" t="s">
        <v>92</v>
      </c>
      <c r="W409" s="72">
        <v>0.020833333333333332</v>
      </c>
      <c r="X409" s="95"/>
      <c r="Y409" s="74"/>
    </row>
    <row r="410">
      <c r="A410" s="41">
        <v>397.0</v>
      </c>
      <c r="B410" s="42" t="s">
        <v>242</v>
      </c>
      <c r="C410" s="43" t="str">
        <f>HYPERLINK("https://azurlane.koumakan.jp/I-56","I-56")</f>
        <v>I-56</v>
      </c>
      <c r="D410" s="24" t="s">
        <v>28</v>
      </c>
      <c r="E410" s="24">
        <v>2131.0</v>
      </c>
      <c r="F410" s="24">
        <v>60.0</v>
      </c>
      <c r="G410" s="24">
        <v>508.0</v>
      </c>
      <c r="H410" s="24">
        <v>0.0</v>
      </c>
      <c r="I410" s="24">
        <v>0.0</v>
      </c>
      <c r="J410" s="24">
        <v>63.0</v>
      </c>
      <c r="K410" s="24">
        <v>38.0</v>
      </c>
      <c r="L410" s="24" t="s">
        <v>29</v>
      </c>
      <c r="M410" s="24">
        <v>14.0</v>
      </c>
      <c r="N410" s="24">
        <v>170.0</v>
      </c>
      <c r="O410" s="24">
        <v>46.0</v>
      </c>
      <c r="P410" s="24">
        <v>0.0</v>
      </c>
      <c r="Q410" s="24">
        <v>6.0</v>
      </c>
      <c r="R410" s="24">
        <v>248.0</v>
      </c>
      <c r="S410" s="24">
        <v>2.0</v>
      </c>
      <c r="T410" s="24" t="s">
        <v>143</v>
      </c>
      <c r="U410" s="45"/>
      <c r="V410" s="103" t="s">
        <v>92</v>
      </c>
      <c r="W410" s="104">
        <v>0.020833333333333332</v>
      </c>
      <c r="X410" s="47"/>
      <c r="Y410" s="48"/>
    </row>
    <row r="411">
      <c r="A411" s="68">
        <v>398.0</v>
      </c>
      <c r="B411" s="69" t="s">
        <v>242</v>
      </c>
      <c r="C411" s="80" t="str">
        <f>HYPERLINK("https://azurlane.koumakan.jp/I-168","I-168")</f>
        <v>I-168</v>
      </c>
      <c r="D411" s="35" t="s">
        <v>32</v>
      </c>
      <c r="E411" s="35">
        <v>2041.0</v>
      </c>
      <c r="F411" s="35">
        <v>66.0</v>
      </c>
      <c r="G411" s="35">
        <v>546.0</v>
      </c>
      <c r="H411" s="35">
        <v>0.0</v>
      </c>
      <c r="I411" s="35">
        <v>0.0</v>
      </c>
      <c r="J411" s="35">
        <v>117.0</v>
      </c>
      <c r="K411" s="35">
        <v>44.0</v>
      </c>
      <c r="L411" s="35" t="s">
        <v>29</v>
      </c>
      <c r="M411" s="35">
        <v>18.0</v>
      </c>
      <c r="N411" s="35">
        <v>177.0</v>
      </c>
      <c r="O411" s="35">
        <v>22.0</v>
      </c>
      <c r="P411" s="35">
        <v>0.0</v>
      </c>
      <c r="Q411" s="35">
        <v>7.0</v>
      </c>
      <c r="R411" s="35">
        <v>195.0</v>
      </c>
      <c r="S411" s="35">
        <v>2.0</v>
      </c>
      <c r="T411" s="35" t="s">
        <v>143</v>
      </c>
      <c r="U411" s="71"/>
      <c r="V411" s="35" t="s">
        <v>92</v>
      </c>
      <c r="W411" s="72">
        <v>0.020833333333333332</v>
      </c>
      <c r="X411" s="95"/>
      <c r="Y411" s="74"/>
    </row>
    <row r="412">
      <c r="A412" s="41">
        <v>399.0</v>
      </c>
      <c r="B412" s="42" t="s">
        <v>242</v>
      </c>
      <c r="C412" s="43" t="str">
        <f>HYPERLINK("https://azurlane.koumakan.jp/U-101","U-101")</f>
        <v>U-101</v>
      </c>
      <c r="D412" s="24" t="s">
        <v>32</v>
      </c>
      <c r="E412" s="24">
        <v>1328.0</v>
      </c>
      <c r="F412" s="24">
        <v>48.0</v>
      </c>
      <c r="G412" s="24">
        <v>537.0</v>
      </c>
      <c r="H412" s="24">
        <v>0.0</v>
      </c>
      <c r="I412" s="24">
        <v>0.0</v>
      </c>
      <c r="J412" s="24">
        <v>112.0</v>
      </c>
      <c r="K412" s="24">
        <v>38.0</v>
      </c>
      <c r="L412" s="24" t="s">
        <v>29</v>
      </c>
      <c r="M412" s="24">
        <v>14.0</v>
      </c>
      <c r="N412" s="24">
        <v>180.0</v>
      </c>
      <c r="O412" s="24">
        <v>68.0</v>
      </c>
      <c r="P412" s="24">
        <v>0.0</v>
      </c>
      <c r="Q412" s="24">
        <v>7.0</v>
      </c>
      <c r="R412" s="24">
        <v>190.0</v>
      </c>
      <c r="S412" s="24">
        <v>2.0</v>
      </c>
      <c r="T412" s="24" t="s">
        <v>193</v>
      </c>
      <c r="U412" s="45"/>
      <c r="V412" s="24" t="s">
        <v>92</v>
      </c>
      <c r="W412" s="66">
        <v>0.008333333333333333</v>
      </c>
      <c r="X412" s="47"/>
      <c r="Y412" s="48"/>
    </row>
    <row r="413">
      <c r="A413" s="68">
        <v>400.0</v>
      </c>
      <c r="B413" s="69" t="s">
        <v>242</v>
      </c>
      <c r="C413" s="80" t="str">
        <f>HYPERLINK("https://azurlane.koumakan.jp/U-522","U-522")</f>
        <v>U-522</v>
      </c>
      <c r="D413" s="35" t="s">
        <v>28</v>
      </c>
      <c r="E413" s="35">
        <v>1533.0</v>
      </c>
      <c r="F413" s="35">
        <v>44.0</v>
      </c>
      <c r="G413" s="35">
        <v>511.0</v>
      </c>
      <c r="H413" s="35">
        <v>0.0</v>
      </c>
      <c r="I413" s="35">
        <v>0.0</v>
      </c>
      <c r="J413" s="35">
        <v>85.0</v>
      </c>
      <c r="K413" s="35">
        <v>38.0</v>
      </c>
      <c r="L413" s="35" t="s">
        <v>29</v>
      </c>
      <c r="M413" s="35">
        <v>14.0</v>
      </c>
      <c r="N413" s="35">
        <v>182.0</v>
      </c>
      <c r="O413" s="35">
        <v>22.0</v>
      </c>
      <c r="P413" s="35">
        <v>0.0</v>
      </c>
      <c r="Q413" s="35">
        <v>6.0</v>
      </c>
      <c r="R413" s="35">
        <v>228.0</v>
      </c>
      <c r="S413" s="35">
        <v>2.0</v>
      </c>
      <c r="T413" s="35" t="s">
        <v>193</v>
      </c>
      <c r="U413" s="71"/>
      <c r="V413" s="35" t="s">
        <v>92</v>
      </c>
      <c r="W413" s="72">
        <v>0.007638888888888889</v>
      </c>
      <c r="X413" s="95"/>
      <c r="Y413" s="74"/>
    </row>
    <row r="414">
      <c r="A414" s="41">
        <v>401.0</v>
      </c>
      <c r="B414" s="42" t="s">
        <v>82</v>
      </c>
      <c r="C414" s="43" t="str">
        <f>HYPERLINK("https://azurlane.koumakan.jp/Alabama","Alabama")</f>
        <v>Alabama</v>
      </c>
      <c r="D414" s="24" t="s">
        <v>32</v>
      </c>
      <c r="E414" s="24">
        <v>7967.0</v>
      </c>
      <c r="F414" s="24">
        <v>424.0</v>
      </c>
      <c r="G414" s="24">
        <v>0.0</v>
      </c>
      <c r="H414" s="24">
        <v>0.0</v>
      </c>
      <c r="I414" s="24">
        <v>417.0</v>
      </c>
      <c r="J414" s="24">
        <v>156.0</v>
      </c>
      <c r="K414" s="24">
        <v>34.0</v>
      </c>
      <c r="L414" s="24" t="s">
        <v>83</v>
      </c>
      <c r="M414" s="24">
        <v>27.0</v>
      </c>
      <c r="N414" s="24">
        <v>66.0</v>
      </c>
      <c r="O414" s="24">
        <v>86.0</v>
      </c>
      <c r="P414" s="24">
        <v>0.0</v>
      </c>
      <c r="Q414" s="24">
        <v>15.0</v>
      </c>
      <c r="R414" s="24">
        <v>0.0</v>
      </c>
      <c r="S414" s="24">
        <v>0.0</v>
      </c>
      <c r="T414" s="24" t="s">
        <v>37</v>
      </c>
      <c r="U414" s="45"/>
      <c r="V414" s="24" t="s">
        <v>76</v>
      </c>
      <c r="W414" s="66">
        <v>0.20833333333333334</v>
      </c>
      <c r="X414" s="67" t="s">
        <v>81</v>
      </c>
      <c r="Y414" s="48"/>
    </row>
    <row r="415">
      <c r="A415" s="68">
        <v>402.0</v>
      </c>
      <c r="B415" s="69" t="s">
        <v>242</v>
      </c>
      <c r="C415" s="80" t="str">
        <f>HYPERLINK("https://azurlane.koumakan.jp/Cavalla","Cavalla")</f>
        <v>Cavalla</v>
      </c>
      <c r="D415" s="35" t="s">
        <v>32</v>
      </c>
      <c r="E415" s="35">
        <v>1945.0</v>
      </c>
      <c r="F415" s="35">
        <v>66.0</v>
      </c>
      <c r="G415" s="35">
        <v>531.0</v>
      </c>
      <c r="H415" s="35">
        <v>0.0</v>
      </c>
      <c r="I415" s="35">
        <v>0.0</v>
      </c>
      <c r="J415" s="35">
        <v>94.0</v>
      </c>
      <c r="K415" s="35">
        <v>43.0</v>
      </c>
      <c r="L415" s="35" t="s">
        <v>29</v>
      </c>
      <c r="M415" s="35">
        <v>16.0</v>
      </c>
      <c r="N415" s="35">
        <v>197.0</v>
      </c>
      <c r="O415" s="35">
        <v>78.0</v>
      </c>
      <c r="P415" s="35">
        <v>0.0</v>
      </c>
      <c r="Q415" s="35">
        <v>7.0</v>
      </c>
      <c r="R415" s="35">
        <v>243.0</v>
      </c>
      <c r="S415" s="35">
        <v>2.0</v>
      </c>
      <c r="T415" s="35" t="s">
        <v>37</v>
      </c>
      <c r="U415" s="71"/>
      <c r="V415" s="35" t="s">
        <v>76</v>
      </c>
      <c r="W415" s="97"/>
      <c r="X415" s="73" t="s">
        <v>266</v>
      </c>
      <c r="Y415" s="74"/>
    </row>
    <row r="416">
      <c r="A416" s="41">
        <v>403.0</v>
      </c>
      <c r="B416" s="42" t="s">
        <v>91</v>
      </c>
      <c r="C416" s="119" t="str">
        <f>HYPERLINK("https://azurlane.koumakan.jp/Bataan","Bataan")</f>
        <v>Bataan</v>
      </c>
      <c r="D416" s="24" t="s">
        <v>28</v>
      </c>
      <c r="E416" s="24">
        <v>5127.0</v>
      </c>
      <c r="F416" s="24">
        <v>0.0</v>
      </c>
      <c r="G416" s="24">
        <v>0.0</v>
      </c>
      <c r="H416" s="24">
        <v>352.0</v>
      </c>
      <c r="I416" s="24">
        <v>282.0</v>
      </c>
      <c r="J416" s="24">
        <v>202.0</v>
      </c>
      <c r="K416" s="24">
        <v>85.0</v>
      </c>
      <c r="L416" s="24" t="s">
        <v>71</v>
      </c>
      <c r="M416" s="24">
        <v>31.0</v>
      </c>
      <c r="N416" s="24">
        <v>92.0</v>
      </c>
      <c r="O416" s="24">
        <v>65.0</v>
      </c>
      <c r="P416" s="24">
        <v>73.0</v>
      </c>
      <c r="Q416" s="24">
        <v>11.0</v>
      </c>
      <c r="R416" s="24">
        <v>0.0</v>
      </c>
      <c r="S416" s="24">
        <v>0.0</v>
      </c>
      <c r="T416" s="24" t="s">
        <v>37</v>
      </c>
      <c r="U416" s="45"/>
      <c r="V416" s="103" t="s">
        <v>76</v>
      </c>
      <c r="W416" s="120"/>
      <c r="X416" s="67" t="s">
        <v>266</v>
      </c>
      <c r="Y416" s="48"/>
    </row>
    <row r="417">
      <c r="A417" s="68">
        <v>404.0</v>
      </c>
      <c r="B417" s="69" t="s">
        <v>52</v>
      </c>
      <c r="C417" s="121" t="str">
        <f>HYPERLINK("https://azurlane.koumakan.jp/San_Juan","San Juan")</f>
        <v>San Juan</v>
      </c>
      <c r="D417" s="35" t="s">
        <v>36</v>
      </c>
      <c r="E417" s="35">
        <v>3598.0</v>
      </c>
      <c r="F417" s="35">
        <v>131.0</v>
      </c>
      <c r="G417" s="35">
        <v>159.0</v>
      </c>
      <c r="H417" s="35">
        <v>0.0</v>
      </c>
      <c r="I417" s="35">
        <v>438.0</v>
      </c>
      <c r="J417" s="35">
        <v>181.0</v>
      </c>
      <c r="K417" s="35">
        <v>112.0</v>
      </c>
      <c r="L417" s="35" t="s">
        <v>29</v>
      </c>
      <c r="M417" s="35">
        <v>32.0</v>
      </c>
      <c r="N417" s="35">
        <v>173.0</v>
      </c>
      <c r="O417" s="35">
        <v>77.0</v>
      </c>
      <c r="P417" s="35">
        <v>188.0</v>
      </c>
      <c r="Q417" s="35">
        <v>9.0</v>
      </c>
      <c r="R417" s="35">
        <v>0.0</v>
      </c>
      <c r="S417" s="35">
        <v>0.0</v>
      </c>
      <c r="T417" s="35" t="s">
        <v>37</v>
      </c>
      <c r="U417" s="71"/>
      <c r="V417" s="35" t="s">
        <v>76</v>
      </c>
      <c r="W417" s="97"/>
      <c r="X417" s="73" t="s">
        <v>266</v>
      </c>
      <c r="Y417" s="74"/>
    </row>
    <row r="418">
      <c r="A418" s="41">
        <v>405.0</v>
      </c>
      <c r="B418" s="42" t="s">
        <v>52</v>
      </c>
      <c r="C418" s="119" t="str">
        <f>HYPERLINK("https://azurlane.koumakan.jp/Birmingham","Birmingham")</f>
        <v>Birmingham</v>
      </c>
      <c r="D418" s="24" t="s">
        <v>28</v>
      </c>
      <c r="E418" s="24">
        <v>4285.0</v>
      </c>
      <c r="F418" s="24">
        <v>170.0</v>
      </c>
      <c r="G418" s="24">
        <v>0.0</v>
      </c>
      <c r="H418" s="24">
        <v>0.0</v>
      </c>
      <c r="I418" s="24">
        <v>334.0</v>
      </c>
      <c r="J418" s="24">
        <v>188.0</v>
      </c>
      <c r="K418" s="24">
        <v>111.0</v>
      </c>
      <c r="L418" s="24" t="s">
        <v>29</v>
      </c>
      <c r="M418" s="24">
        <v>32.0</v>
      </c>
      <c r="N418" s="24">
        <v>174.0</v>
      </c>
      <c r="O418" s="24">
        <v>48.0</v>
      </c>
      <c r="P418" s="24">
        <v>100.0</v>
      </c>
      <c r="Q418" s="24">
        <v>10.0</v>
      </c>
      <c r="R418" s="24">
        <v>0.0</v>
      </c>
      <c r="S418" s="24">
        <v>0.0</v>
      </c>
      <c r="T418" s="24" t="s">
        <v>37</v>
      </c>
      <c r="U418" s="45"/>
      <c r="V418" s="24" t="s">
        <v>76</v>
      </c>
      <c r="W418" s="66">
        <v>0.059027777777777776</v>
      </c>
      <c r="X418" s="67" t="s">
        <v>81</v>
      </c>
      <c r="Y418" s="48"/>
    </row>
    <row r="419">
      <c r="A419" s="68">
        <v>406.0</v>
      </c>
      <c r="B419" s="69" t="s">
        <v>27</v>
      </c>
      <c r="C419" s="80" t="str">
        <f>HYPERLINK("https://azurlane.koumakan.jp/Aylwin","Aylwin")</f>
        <v>Aylwin</v>
      </c>
      <c r="D419" s="35" t="s">
        <v>36</v>
      </c>
      <c r="E419" s="35">
        <v>1720.0</v>
      </c>
      <c r="F419" s="35">
        <v>82.0</v>
      </c>
      <c r="G419" s="35">
        <v>282.0</v>
      </c>
      <c r="H419" s="35">
        <v>0.0</v>
      </c>
      <c r="I419" s="35">
        <v>186.0</v>
      </c>
      <c r="J419" s="35">
        <v>202.0</v>
      </c>
      <c r="K419" s="35">
        <v>210.0</v>
      </c>
      <c r="L419" s="35" t="s">
        <v>29</v>
      </c>
      <c r="M419" s="35">
        <v>44.0</v>
      </c>
      <c r="N419" s="35">
        <v>194.0</v>
      </c>
      <c r="O419" s="35">
        <v>83.0</v>
      </c>
      <c r="P419" s="35">
        <v>200.0</v>
      </c>
      <c r="Q419" s="35">
        <v>8.0</v>
      </c>
      <c r="R419" s="35">
        <v>0.0</v>
      </c>
      <c r="S419" s="35">
        <v>0.0</v>
      </c>
      <c r="T419" s="35" t="s">
        <v>37</v>
      </c>
      <c r="U419" s="71"/>
      <c r="V419" s="35" t="s">
        <v>76</v>
      </c>
      <c r="W419" s="72">
        <v>0.013888888888888888</v>
      </c>
      <c r="X419" s="73" t="s">
        <v>267</v>
      </c>
      <c r="Y419" s="74"/>
    </row>
    <row r="420">
      <c r="A420" s="41">
        <v>407.0</v>
      </c>
      <c r="B420" s="42" t="s">
        <v>27</v>
      </c>
      <c r="C420" s="43" t="str">
        <f>HYPERLINK("https://azurlane.koumakan.jp/Bache","Bache")</f>
        <v>Bache</v>
      </c>
      <c r="D420" s="24" t="s">
        <v>36</v>
      </c>
      <c r="E420" s="24">
        <v>2146.0</v>
      </c>
      <c r="F420" s="24">
        <v>77.0</v>
      </c>
      <c r="G420" s="24">
        <v>287.0</v>
      </c>
      <c r="H420" s="24">
        <v>0.0</v>
      </c>
      <c r="I420" s="24">
        <v>198.0</v>
      </c>
      <c r="J420" s="24">
        <v>199.0</v>
      </c>
      <c r="K420" s="24">
        <v>209.0</v>
      </c>
      <c r="L420" s="24" t="s">
        <v>29</v>
      </c>
      <c r="M420" s="24">
        <v>43.0</v>
      </c>
      <c r="N420" s="24">
        <v>210.0</v>
      </c>
      <c r="O420" s="24">
        <v>78.0</v>
      </c>
      <c r="P420" s="24">
        <v>190.0</v>
      </c>
      <c r="Q420" s="24">
        <v>8.0</v>
      </c>
      <c r="R420" s="24">
        <v>0.0</v>
      </c>
      <c r="S420" s="24">
        <v>0.0</v>
      </c>
      <c r="T420" s="24" t="s">
        <v>37</v>
      </c>
      <c r="U420" s="45"/>
      <c r="V420" s="24" t="s">
        <v>29</v>
      </c>
      <c r="W420" s="66">
        <v>0.019444444444444445</v>
      </c>
      <c r="X420" s="47"/>
      <c r="Y420" s="48"/>
    </row>
    <row r="421">
      <c r="A421" s="68">
        <v>408.0</v>
      </c>
      <c r="B421" s="69" t="s">
        <v>52</v>
      </c>
      <c r="C421" s="80" t="str">
        <f>HYPERLINK("https://azurlane.koumakan.jp/Black_Prince","Black Prince")</f>
        <v>Black Prince</v>
      </c>
      <c r="D421" s="35" t="s">
        <v>28</v>
      </c>
      <c r="E421" s="35">
        <v>3691.0</v>
      </c>
      <c r="F421" s="35">
        <v>144.0</v>
      </c>
      <c r="G421" s="35">
        <v>155.0</v>
      </c>
      <c r="H421" s="35">
        <v>0.0</v>
      </c>
      <c r="I421" s="35">
        <v>385.0</v>
      </c>
      <c r="J421" s="35">
        <v>182.0</v>
      </c>
      <c r="K421" s="35">
        <v>115.0</v>
      </c>
      <c r="L421" s="35" t="s">
        <v>29</v>
      </c>
      <c r="M421" s="35">
        <v>32.0</v>
      </c>
      <c r="N421" s="35">
        <v>173.0</v>
      </c>
      <c r="O421" s="35">
        <v>58.0</v>
      </c>
      <c r="P421" s="35">
        <v>150.0</v>
      </c>
      <c r="Q421" s="35">
        <v>10.0</v>
      </c>
      <c r="R421" s="35">
        <v>0.0</v>
      </c>
      <c r="S421" s="35">
        <v>0.0</v>
      </c>
      <c r="T421" s="35" t="s">
        <v>104</v>
      </c>
      <c r="U421" s="71"/>
      <c r="V421" s="35" t="s">
        <v>29</v>
      </c>
      <c r="W421" s="72">
        <v>0.03819444444444445</v>
      </c>
      <c r="X421" s="95"/>
      <c r="Y421" s="74"/>
    </row>
    <row r="422">
      <c r="A422" s="41">
        <v>409.0</v>
      </c>
      <c r="B422" s="42" t="s">
        <v>27</v>
      </c>
      <c r="C422" s="43" t="str">
        <f>HYPERLINK("https://azurlane.koumakan.jp/Stanly","Stanly")</f>
        <v>Stanly</v>
      </c>
      <c r="D422" s="24" t="s">
        <v>36</v>
      </c>
      <c r="E422" s="24">
        <v>2146.0</v>
      </c>
      <c r="F422" s="24">
        <v>87.0</v>
      </c>
      <c r="G422" s="24">
        <v>287.0</v>
      </c>
      <c r="H422" s="24">
        <v>0.0</v>
      </c>
      <c r="I422" s="24">
        <v>176.0</v>
      </c>
      <c r="J422" s="24">
        <v>207.0</v>
      </c>
      <c r="K422" s="24">
        <v>206.0</v>
      </c>
      <c r="L422" s="24" t="s">
        <v>29</v>
      </c>
      <c r="M422" s="24">
        <v>42.0</v>
      </c>
      <c r="N422" s="24">
        <v>222.0</v>
      </c>
      <c r="O422" s="24">
        <v>90.0</v>
      </c>
      <c r="P422" s="24">
        <v>209.0</v>
      </c>
      <c r="Q422" s="24">
        <v>8.0</v>
      </c>
      <c r="R422" s="24">
        <v>0.0</v>
      </c>
      <c r="S422" s="24">
        <v>0.0</v>
      </c>
      <c r="T422" s="24" t="s">
        <v>37</v>
      </c>
      <c r="U422" s="45"/>
      <c r="V422" s="24" t="s">
        <v>76</v>
      </c>
      <c r="W422" s="46"/>
      <c r="X422" s="67" t="s">
        <v>268</v>
      </c>
      <c r="Y422" s="48"/>
    </row>
    <row r="423">
      <c r="A423" s="68">
        <v>410.0</v>
      </c>
      <c r="B423" s="69" t="s">
        <v>82</v>
      </c>
      <c r="C423" s="80" t="str">
        <f>HYPERLINK("https://azurlane.koumakan.jp/Littorio","Littorio")</f>
        <v>Littorio</v>
      </c>
      <c r="D423" s="35" t="s">
        <v>32</v>
      </c>
      <c r="E423" s="35">
        <v>8567.0</v>
      </c>
      <c r="F423" s="35">
        <v>426.0</v>
      </c>
      <c r="G423" s="35">
        <v>0.0</v>
      </c>
      <c r="H423" s="35">
        <v>0.0</v>
      </c>
      <c r="I423" s="35">
        <v>248.0</v>
      </c>
      <c r="J423" s="35">
        <v>156.0</v>
      </c>
      <c r="K423" s="35">
        <v>37.0</v>
      </c>
      <c r="L423" s="35" t="s">
        <v>83</v>
      </c>
      <c r="M423" s="35">
        <v>30.0</v>
      </c>
      <c r="N423" s="35">
        <v>60.0</v>
      </c>
      <c r="O423" s="35">
        <v>79.0</v>
      </c>
      <c r="P423" s="35">
        <v>0.0</v>
      </c>
      <c r="Q423" s="35">
        <v>15.0</v>
      </c>
      <c r="R423" s="35">
        <v>0.0</v>
      </c>
      <c r="S423" s="35">
        <v>0.0</v>
      </c>
      <c r="T423" s="35" t="s">
        <v>269</v>
      </c>
      <c r="U423" s="71"/>
      <c r="V423" s="61" t="s">
        <v>76</v>
      </c>
      <c r="W423" s="82">
        <v>0.21875</v>
      </c>
      <c r="X423" s="73" t="s">
        <v>270</v>
      </c>
      <c r="Y423" s="74"/>
    </row>
    <row r="424">
      <c r="A424" s="41">
        <v>411.0</v>
      </c>
      <c r="B424" s="42" t="s">
        <v>82</v>
      </c>
      <c r="C424" s="43" t="str">
        <f>HYPERLINK("https://azurlane.koumakan.jp/Conte_di_Cavour","Conti di Cavour")</f>
        <v>Conti di Cavour</v>
      </c>
      <c r="D424" s="24" t="s">
        <v>36</v>
      </c>
      <c r="E424" s="24">
        <v>6994.0</v>
      </c>
      <c r="F424" s="24">
        <v>341.0</v>
      </c>
      <c r="G424" s="24">
        <v>148.0</v>
      </c>
      <c r="H424" s="24">
        <v>0.0</v>
      </c>
      <c r="I424" s="24">
        <v>179.0</v>
      </c>
      <c r="J424" s="24">
        <v>140.0</v>
      </c>
      <c r="K424" s="24">
        <v>38.0</v>
      </c>
      <c r="L424" s="24" t="s">
        <v>83</v>
      </c>
      <c r="M424" s="24">
        <v>27.0</v>
      </c>
      <c r="N424" s="24">
        <v>63.0</v>
      </c>
      <c r="O424" s="24">
        <v>45.0</v>
      </c>
      <c r="P424" s="24">
        <v>0.0</v>
      </c>
      <c r="Q424" s="24">
        <v>13.0</v>
      </c>
      <c r="R424" s="24">
        <v>0.0</v>
      </c>
      <c r="S424" s="24">
        <v>0.0</v>
      </c>
      <c r="T424" s="24" t="s">
        <v>269</v>
      </c>
      <c r="U424" s="45"/>
      <c r="V424" s="26" t="s">
        <v>76</v>
      </c>
      <c r="W424" s="46"/>
      <c r="X424" s="67" t="s">
        <v>271</v>
      </c>
      <c r="Y424" s="48"/>
    </row>
    <row r="425">
      <c r="A425" s="68">
        <v>412.0</v>
      </c>
      <c r="B425" s="69" t="s">
        <v>82</v>
      </c>
      <c r="C425" s="80" t="str">
        <f>HYPERLINK("https://azurlane.koumakan.jp/Giulio_Cesare","Giulio Cesare")</f>
        <v>Giulio Cesare</v>
      </c>
      <c r="D425" s="35" t="s">
        <v>28</v>
      </c>
      <c r="E425" s="35">
        <v>7197.0</v>
      </c>
      <c r="F425" s="35">
        <v>351.0</v>
      </c>
      <c r="G425" s="35">
        <v>153.0</v>
      </c>
      <c r="H425" s="35">
        <v>0.0</v>
      </c>
      <c r="I425" s="35">
        <v>190.0</v>
      </c>
      <c r="J425" s="35">
        <v>151.0</v>
      </c>
      <c r="K425" s="35">
        <v>38.0</v>
      </c>
      <c r="L425" s="35" t="s">
        <v>83</v>
      </c>
      <c r="M425" s="35">
        <v>27.0</v>
      </c>
      <c r="N425" s="35">
        <v>65.0</v>
      </c>
      <c r="O425" s="35">
        <v>65.0</v>
      </c>
      <c r="P425" s="35">
        <v>0.0</v>
      </c>
      <c r="Q425" s="35">
        <v>14.0</v>
      </c>
      <c r="R425" s="35">
        <v>0.0</v>
      </c>
      <c r="S425" s="35">
        <v>0.0</v>
      </c>
      <c r="T425" s="35" t="s">
        <v>269</v>
      </c>
      <c r="U425" s="71"/>
      <c r="V425" s="61" t="s">
        <v>76</v>
      </c>
      <c r="W425" s="82">
        <v>0.17708333333333334</v>
      </c>
      <c r="X425" s="73" t="s">
        <v>139</v>
      </c>
      <c r="Y425" s="74"/>
    </row>
    <row r="426">
      <c r="A426" s="41">
        <v>413.0</v>
      </c>
      <c r="B426" s="42" t="s">
        <v>66</v>
      </c>
      <c r="C426" s="43" t="str">
        <f>HYPERLINK("https://azurlane.koumakan.jp/Zara","Zara")</f>
        <v>Zara</v>
      </c>
      <c r="D426" s="24" t="s">
        <v>32</v>
      </c>
      <c r="E426" s="24">
        <v>5056.0</v>
      </c>
      <c r="F426" s="24">
        <v>256.0</v>
      </c>
      <c r="G426" s="24">
        <v>0.0</v>
      </c>
      <c r="H426" s="24">
        <v>0.0</v>
      </c>
      <c r="I426" s="24">
        <v>234.0</v>
      </c>
      <c r="J426" s="24">
        <v>185.0</v>
      </c>
      <c r="K426" s="24">
        <v>59.0</v>
      </c>
      <c r="L426" s="24" t="s">
        <v>71</v>
      </c>
      <c r="M426" s="24">
        <v>26.0</v>
      </c>
      <c r="N426" s="24">
        <v>121.0</v>
      </c>
      <c r="O426" s="24">
        <v>75.0</v>
      </c>
      <c r="P426" s="24">
        <v>0.0</v>
      </c>
      <c r="Q426" s="24">
        <v>12.0</v>
      </c>
      <c r="R426" s="24">
        <v>0.0</v>
      </c>
      <c r="S426" s="24">
        <v>0.0</v>
      </c>
      <c r="T426" s="24" t="s">
        <v>269</v>
      </c>
      <c r="U426" s="45"/>
      <c r="V426" s="26" t="s">
        <v>76</v>
      </c>
      <c r="W426" s="66">
        <v>0.0798611111111111</v>
      </c>
      <c r="X426" s="67" t="s">
        <v>139</v>
      </c>
      <c r="Y426" s="48"/>
    </row>
    <row r="427">
      <c r="A427" s="68">
        <v>414.0</v>
      </c>
      <c r="B427" s="69" t="s">
        <v>66</v>
      </c>
      <c r="C427" s="80" t="str">
        <f>HYPERLINK("https://azurlane.koumakan.jp/Trento","Trento")</f>
        <v>Trento</v>
      </c>
      <c r="D427" s="35" t="s">
        <v>36</v>
      </c>
      <c r="E427" s="35">
        <v>3626.0</v>
      </c>
      <c r="F427" s="35">
        <v>235.0</v>
      </c>
      <c r="G427" s="35">
        <v>186.0</v>
      </c>
      <c r="H427" s="35">
        <v>0.0</v>
      </c>
      <c r="I427" s="35">
        <v>190.0</v>
      </c>
      <c r="J427" s="35">
        <v>162.0</v>
      </c>
      <c r="K427" s="35">
        <v>73.0</v>
      </c>
      <c r="L427" s="35" t="s">
        <v>29</v>
      </c>
      <c r="M427" s="35">
        <v>28.0</v>
      </c>
      <c r="N427" s="35">
        <v>121.0</v>
      </c>
      <c r="O427" s="35">
        <v>42.0</v>
      </c>
      <c r="P427" s="35">
        <v>0.0</v>
      </c>
      <c r="Q427" s="35">
        <v>10.0</v>
      </c>
      <c r="R427" s="35">
        <v>0.0</v>
      </c>
      <c r="S427" s="35">
        <v>0.0</v>
      </c>
      <c r="T427" s="35" t="s">
        <v>269</v>
      </c>
      <c r="U427" s="71"/>
      <c r="V427" s="37" t="s">
        <v>76</v>
      </c>
      <c r="W427" s="97"/>
      <c r="X427" s="73" t="s">
        <v>272</v>
      </c>
      <c r="Y427" s="74"/>
    </row>
    <row r="428">
      <c r="A428" s="41">
        <v>415.0</v>
      </c>
      <c r="B428" s="42" t="s">
        <v>27</v>
      </c>
      <c r="C428" s="43" t="str">
        <f>HYPERLINK("https://azurlane.koumakan.jp/Carabiniere","Carabiniere")</f>
        <v>Carabiniere</v>
      </c>
      <c r="D428" s="24" t="s">
        <v>28</v>
      </c>
      <c r="E428" s="24">
        <v>1831.0</v>
      </c>
      <c r="F428" s="24">
        <v>128.0</v>
      </c>
      <c r="G428" s="24">
        <v>271.0</v>
      </c>
      <c r="H428" s="24">
        <v>0.0</v>
      </c>
      <c r="I428" s="24">
        <v>164.0</v>
      </c>
      <c r="J428" s="24">
        <v>204.0</v>
      </c>
      <c r="K428" s="24">
        <v>275.0</v>
      </c>
      <c r="L428" s="24" t="s">
        <v>29</v>
      </c>
      <c r="M428" s="24">
        <v>45.0</v>
      </c>
      <c r="N428" s="24">
        <v>212.0</v>
      </c>
      <c r="O428" s="24">
        <v>65.0</v>
      </c>
      <c r="P428" s="24">
        <v>207.0</v>
      </c>
      <c r="Q428" s="24">
        <v>9.0</v>
      </c>
      <c r="R428" s="24">
        <v>0.0</v>
      </c>
      <c r="S428" s="24">
        <v>0.0</v>
      </c>
      <c r="T428" s="24" t="s">
        <v>269</v>
      </c>
      <c r="U428" s="45"/>
      <c r="V428" s="75" t="s">
        <v>76</v>
      </c>
      <c r="W428" s="120"/>
      <c r="X428" s="67" t="s">
        <v>272</v>
      </c>
      <c r="Y428" s="48"/>
    </row>
    <row r="429">
      <c r="A429" s="68">
        <v>416.0</v>
      </c>
      <c r="B429" s="69" t="s">
        <v>242</v>
      </c>
      <c r="C429" s="80" t="str">
        <f>HYPERLINK("https://azurlane.koumakan.jp/U-110","U-110")</f>
        <v>U-110</v>
      </c>
      <c r="D429" s="35" t="s">
        <v>28</v>
      </c>
      <c r="E429" s="35">
        <v>1498.0</v>
      </c>
      <c r="F429" s="35">
        <v>48.0</v>
      </c>
      <c r="G429" s="35">
        <v>505.0</v>
      </c>
      <c r="H429" s="35">
        <v>0.0</v>
      </c>
      <c r="I429" s="35">
        <v>0.0</v>
      </c>
      <c r="J429" s="35">
        <v>83.0</v>
      </c>
      <c r="K429" s="35">
        <v>38.0</v>
      </c>
      <c r="L429" s="35" t="s">
        <v>29</v>
      </c>
      <c r="M429" s="35">
        <v>14.0</v>
      </c>
      <c r="N429" s="35">
        <v>182.0</v>
      </c>
      <c r="O429" s="35">
        <v>28.0</v>
      </c>
      <c r="P429" s="35">
        <v>0.0</v>
      </c>
      <c r="Q429" s="35">
        <v>6.0</v>
      </c>
      <c r="R429" s="35">
        <v>208.0</v>
      </c>
      <c r="S429" s="35">
        <v>2.0</v>
      </c>
      <c r="T429" s="35" t="s">
        <v>193</v>
      </c>
      <c r="U429" s="71"/>
      <c r="V429" s="35" t="s">
        <v>76</v>
      </c>
      <c r="W429" s="72">
        <v>0.007638888888888889</v>
      </c>
      <c r="X429" s="73" t="s">
        <v>273</v>
      </c>
      <c r="Y429" s="74"/>
    </row>
    <row r="430">
      <c r="A430" s="41">
        <v>417.0</v>
      </c>
      <c r="B430" s="42" t="s">
        <v>27</v>
      </c>
      <c r="C430" s="43" t="str">
        <f>HYPERLINK("https://azurlane.koumakan.jp/Smalley","Smalley")</f>
        <v>Smalley</v>
      </c>
      <c r="D430" s="24" t="s">
        <v>36</v>
      </c>
      <c r="E430" s="24">
        <v>2146.0</v>
      </c>
      <c r="F430" s="24">
        <v>88.0</v>
      </c>
      <c r="G430" s="24">
        <v>287.0</v>
      </c>
      <c r="H430" s="24">
        <v>0.0</v>
      </c>
      <c r="I430" s="24">
        <v>193.0</v>
      </c>
      <c r="J430" s="24">
        <v>205.0</v>
      </c>
      <c r="K430" s="24">
        <v>206.0</v>
      </c>
      <c r="L430" s="24" t="s">
        <v>29</v>
      </c>
      <c r="M430" s="24">
        <v>42.0</v>
      </c>
      <c r="N430" s="24">
        <v>222.0</v>
      </c>
      <c r="O430" s="24">
        <v>65.0</v>
      </c>
      <c r="P430" s="24">
        <v>213.0</v>
      </c>
      <c r="Q430" s="24">
        <v>8.0</v>
      </c>
      <c r="R430" s="24">
        <v>0.0</v>
      </c>
      <c r="S430" s="24">
        <v>0.0</v>
      </c>
      <c r="T430" s="24" t="s">
        <v>37</v>
      </c>
      <c r="U430" s="45"/>
      <c r="V430" s="103" t="s">
        <v>29</v>
      </c>
      <c r="W430" s="104">
        <v>0.019444444444444445</v>
      </c>
      <c r="X430" s="67"/>
      <c r="Y430" s="48"/>
    </row>
    <row r="431">
      <c r="A431" s="68">
        <v>418.0</v>
      </c>
      <c r="B431" s="69" t="s">
        <v>82</v>
      </c>
      <c r="C431" s="80" t="s">
        <v>274</v>
      </c>
      <c r="D431" s="35" t="s">
        <v>32</v>
      </c>
      <c r="E431" s="35">
        <v>8035.0</v>
      </c>
      <c r="F431" s="35">
        <v>434.0</v>
      </c>
      <c r="G431" s="35">
        <v>0.0</v>
      </c>
      <c r="H431" s="35">
        <v>0.0</v>
      </c>
      <c r="I431" s="35">
        <v>242.0</v>
      </c>
      <c r="J431" s="35">
        <v>170.0</v>
      </c>
      <c r="K431" s="35">
        <v>38.0</v>
      </c>
      <c r="L431" s="35" t="s">
        <v>83</v>
      </c>
      <c r="M431" s="35">
        <v>32.0</v>
      </c>
      <c r="N431" s="35">
        <v>73.0</v>
      </c>
      <c r="O431" s="35">
        <v>0.0</v>
      </c>
      <c r="P431" s="35">
        <v>0.0</v>
      </c>
      <c r="Q431" s="35">
        <v>15.0</v>
      </c>
      <c r="R431" s="35">
        <v>0.0</v>
      </c>
      <c r="S431" s="35">
        <v>0.0</v>
      </c>
      <c r="T431" s="35" t="s">
        <v>247</v>
      </c>
      <c r="U431" s="71"/>
      <c r="V431" s="81" t="s">
        <v>76</v>
      </c>
      <c r="W431" s="82">
        <v>0.24305555555555555</v>
      </c>
      <c r="X431" s="73" t="s">
        <v>275</v>
      </c>
      <c r="Y431" s="74"/>
    </row>
    <row r="432">
      <c r="A432" s="41">
        <v>419.0</v>
      </c>
      <c r="B432" s="42" t="s">
        <v>95</v>
      </c>
      <c r="C432" s="43" t="s">
        <v>276</v>
      </c>
      <c r="D432" s="24" t="s">
        <v>32</v>
      </c>
      <c r="E432" s="24">
        <v>6692.0</v>
      </c>
      <c r="F432" s="24">
        <v>0.0</v>
      </c>
      <c r="G432" s="24">
        <v>0.0</v>
      </c>
      <c r="H432" s="24">
        <v>413.0</v>
      </c>
      <c r="I432" s="24">
        <v>330.0</v>
      </c>
      <c r="J432" s="24">
        <v>132.0</v>
      </c>
      <c r="K432" s="24">
        <v>56.0</v>
      </c>
      <c r="L432" s="24" t="s">
        <v>71</v>
      </c>
      <c r="M432" s="24">
        <v>31.0</v>
      </c>
      <c r="N432" s="24">
        <v>92.0</v>
      </c>
      <c r="O432" s="24">
        <v>42.0</v>
      </c>
      <c r="P432" s="24">
        <v>0.0</v>
      </c>
      <c r="Q432" s="24">
        <v>13.0</v>
      </c>
      <c r="R432" s="24">
        <v>0.0</v>
      </c>
      <c r="S432" s="24">
        <v>0.0</v>
      </c>
      <c r="T432" s="24" t="s">
        <v>143</v>
      </c>
      <c r="U432" s="45"/>
      <c r="V432" s="24" t="s">
        <v>76</v>
      </c>
      <c r="W432" s="66">
        <v>0.19444444444444445</v>
      </c>
      <c r="X432" s="67" t="s">
        <v>275</v>
      </c>
      <c r="Y432" s="48"/>
    </row>
    <row r="433">
      <c r="A433" s="68">
        <v>420.0</v>
      </c>
      <c r="B433" s="69" t="s">
        <v>52</v>
      </c>
      <c r="C433" s="122" t="s">
        <v>277</v>
      </c>
      <c r="D433" s="35" t="s">
        <v>28</v>
      </c>
      <c r="E433" s="35">
        <v>3925.0</v>
      </c>
      <c r="F433" s="35">
        <v>164.0</v>
      </c>
      <c r="G433" s="35">
        <v>0.0</v>
      </c>
      <c r="H433" s="35">
        <v>0.0</v>
      </c>
      <c r="I433" s="35">
        <v>330.0</v>
      </c>
      <c r="J433" s="35">
        <v>191.0</v>
      </c>
      <c r="K433" s="35">
        <v>113.0</v>
      </c>
      <c r="L433" s="35" t="s">
        <v>29</v>
      </c>
      <c r="M433" s="35">
        <v>32.0</v>
      </c>
      <c r="N433" s="35">
        <v>168.0</v>
      </c>
      <c r="O433" s="35">
        <v>71.0</v>
      </c>
      <c r="P433" s="35">
        <v>102.0</v>
      </c>
      <c r="Q433" s="35">
        <v>10.0</v>
      </c>
      <c r="R433" s="35">
        <v>0.0</v>
      </c>
      <c r="S433" s="35">
        <v>0.0</v>
      </c>
      <c r="T433" s="35" t="s">
        <v>37</v>
      </c>
      <c r="U433" s="71"/>
      <c r="V433" s="81" t="s">
        <v>76</v>
      </c>
      <c r="W433" s="82">
        <v>0.059027777777777776</v>
      </c>
      <c r="X433" s="73" t="s">
        <v>275</v>
      </c>
      <c r="Y433" s="74"/>
    </row>
    <row r="434">
      <c r="A434" s="41">
        <v>421.0</v>
      </c>
      <c r="B434" s="42" t="s">
        <v>52</v>
      </c>
      <c r="C434" s="123" t="s">
        <v>278</v>
      </c>
      <c r="D434" s="24" t="s">
        <v>28</v>
      </c>
      <c r="E434" s="24">
        <v>3641.0</v>
      </c>
      <c r="F434" s="24">
        <v>155.0</v>
      </c>
      <c r="G434" s="24">
        <v>299.0</v>
      </c>
      <c r="H434" s="24">
        <v>0.0</v>
      </c>
      <c r="I434" s="24">
        <v>358.0</v>
      </c>
      <c r="J434" s="24">
        <v>185.0</v>
      </c>
      <c r="K434" s="24">
        <v>119.0</v>
      </c>
      <c r="L434" s="24" t="s">
        <v>29</v>
      </c>
      <c r="M434" s="24">
        <v>32.0</v>
      </c>
      <c r="N434" s="24">
        <v>164.0</v>
      </c>
      <c r="O434" s="24">
        <v>78.0</v>
      </c>
      <c r="P434" s="24">
        <v>89.0</v>
      </c>
      <c r="Q434" s="24">
        <v>10.0</v>
      </c>
      <c r="R434" s="24">
        <v>0.0</v>
      </c>
      <c r="S434" s="24">
        <v>0.0</v>
      </c>
      <c r="T434" s="24" t="s">
        <v>104</v>
      </c>
      <c r="U434" s="45"/>
      <c r="V434" s="24" t="s">
        <v>76</v>
      </c>
      <c r="W434" s="46"/>
      <c r="X434" s="67" t="s">
        <v>279</v>
      </c>
      <c r="Y434" s="48"/>
    </row>
    <row r="435">
      <c r="A435" s="68">
        <v>422.0</v>
      </c>
      <c r="B435" s="69" t="s">
        <v>66</v>
      </c>
      <c r="C435" s="124" t="s">
        <v>280</v>
      </c>
      <c r="D435" s="35" t="s">
        <v>28</v>
      </c>
      <c r="E435" s="35">
        <v>4956.0</v>
      </c>
      <c r="F435" s="35">
        <v>254.0</v>
      </c>
      <c r="G435" s="35">
        <v>188.0</v>
      </c>
      <c r="H435" s="35">
        <v>0.0</v>
      </c>
      <c r="I435" s="35">
        <v>193.0</v>
      </c>
      <c r="J435" s="35">
        <v>178.0</v>
      </c>
      <c r="K435" s="35">
        <v>64.0</v>
      </c>
      <c r="L435" s="35" t="s">
        <v>71</v>
      </c>
      <c r="M435" s="35">
        <v>25.0</v>
      </c>
      <c r="N435" s="35">
        <v>131.0</v>
      </c>
      <c r="O435" s="35">
        <v>66.0</v>
      </c>
      <c r="P435" s="35">
        <v>0.0</v>
      </c>
      <c r="Q435" s="35">
        <v>11.0</v>
      </c>
      <c r="R435" s="35">
        <v>0.0</v>
      </c>
      <c r="S435" s="35">
        <v>0.0</v>
      </c>
      <c r="T435" s="35" t="s">
        <v>193</v>
      </c>
      <c r="U435" s="71"/>
      <c r="V435" s="35" t="s">
        <v>76</v>
      </c>
      <c r="W435" s="72">
        <v>0.08333333333333333</v>
      </c>
      <c r="X435" s="73" t="s">
        <v>275</v>
      </c>
      <c r="Y435" s="74"/>
    </row>
    <row r="436">
      <c r="A436" s="41">
        <v>423.0</v>
      </c>
      <c r="B436" s="42" t="s">
        <v>52</v>
      </c>
      <c r="C436" s="43" t="str">
        <f>HYPERLINK("https://azurlane.koumakan.jp/Glasgow","Glasglow")</f>
        <v>Glasglow</v>
      </c>
      <c r="D436" s="24" t="s">
        <v>36</v>
      </c>
      <c r="E436" s="24">
        <v>3773.0</v>
      </c>
      <c r="F436" s="24">
        <v>153.0</v>
      </c>
      <c r="G436" s="24">
        <v>276.0</v>
      </c>
      <c r="H436" s="24">
        <v>0.0</v>
      </c>
      <c r="I436" s="24">
        <v>351.0</v>
      </c>
      <c r="J436" s="24">
        <v>174.0</v>
      </c>
      <c r="K436" s="24">
        <v>119.0</v>
      </c>
      <c r="L436" s="24" t="s">
        <v>29</v>
      </c>
      <c r="M436" s="24">
        <v>32.0</v>
      </c>
      <c r="N436" s="24">
        <v>161.0</v>
      </c>
      <c r="O436" s="24">
        <v>81.0</v>
      </c>
      <c r="P436" s="24">
        <v>101.0</v>
      </c>
      <c r="Q436" s="24">
        <v>9.0</v>
      </c>
      <c r="R436" s="24">
        <v>0.0</v>
      </c>
      <c r="S436" s="24">
        <v>0.0</v>
      </c>
      <c r="T436" s="24" t="s">
        <v>104</v>
      </c>
      <c r="U436" s="45"/>
      <c r="V436" s="103" t="s">
        <v>29</v>
      </c>
      <c r="W436" s="104">
        <v>0.059027777777777776</v>
      </c>
      <c r="X436" s="47"/>
      <c r="Y436" s="48"/>
    </row>
    <row r="437">
      <c r="A437" s="68">
        <v>424.0</v>
      </c>
      <c r="B437" s="69" t="s">
        <v>27</v>
      </c>
      <c r="C437" s="80" t="str">
        <f>HYPERLINK("https://azurlane.koumakan.jp/Kasumi","Kasumi")</f>
        <v>Kasumi</v>
      </c>
      <c r="D437" s="35" t="s">
        <v>28</v>
      </c>
      <c r="E437" s="35">
        <v>2048.0</v>
      </c>
      <c r="F437" s="35">
        <v>66.0</v>
      </c>
      <c r="G437" s="35">
        <v>532.0</v>
      </c>
      <c r="H437" s="35">
        <v>0.0</v>
      </c>
      <c r="I437" s="35">
        <v>160.0</v>
      </c>
      <c r="J437" s="35">
        <v>204.0</v>
      </c>
      <c r="K437" s="35">
        <v>246.0</v>
      </c>
      <c r="L437" s="35" t="s">
        <v>29</v>
      </c>
      <c r="M437" s="35">
        <v>42.0</v>
      </c>
      <c r="N437" s="35">
        <v>206.0</v>
      </c>
      <c r="O437" s="35">
        <v>70.0</v>
      </c>
      <c r="P437" s="35">
        <v>195.0</v>
      </c>
      <c r="Q437" s="35">
        <v>9.0</v>
      </c>
      <c r="R437" s="35">
        <v>0.0</v>
      </c>
      <c r="S437" s="35">
        <v>0.0</v>
      </c>
      <c r="T437" s="35" t="s">
        <v>143</v>
      </c>
      <c r="U437" s="71"/>
      <c r="V437" s="35" t="s">
        <v>76</v>
      </c>
      <c r="W437" s="72">
        <v>0.019444444444444445</v>
      </c>
      <c r="X437" s="73" t="s">
        <v>281</v>
      </c>
      <c r="Y437" s="74"/>
    </row>
    <row r="438">
      <c r="A438" s="41">
        <v>424.1</v>
      </c>
      <c r="B438" s="42" t="s">
        <v>27</v>
      </c>
      <c r="C438" s="99" t="s">
        <v>282</v>
      </c>
      <c r="D438" s="24" t="s">
        <v>32</v>
      </c>
      <c r="E438" s="24">
        <v>2213.0</v>
      </c>
      <c r="F438" s="24">
        <v>76.0</v>
      </c>
      <c r="G438" s="24">
        <v>592.0</v>
      </c>
      <c r="H438" s="24">
        <v>0.0</v>
      </c>
      <c r="I438" s="24">
        <v>160.0</v>
      </c>
      <c r="J438" s="24">
        <v>219.0</v>
      </c>
      <c r="K438" s="24">
        <v>281.0</v>
      </c>
      <c r="L438" s="24" t="s">
        <v>29</v>
      </c>
      <c r="M438" s="24">
        <v>45.0</v>
      </c>
      <c r="N438" s="24">
        <v>206.0</v>
      </c>
      <c r="O438" s="24">
        <v>70.0</v>
      </c>
      <c r="P438" s="24">
        <v>195.0</v>
      </c>
      <c r="Q438" s="24">
        <v>9.0</v>
      </c>
      <c r="R438" s="24">
        <v>0.0</v>
      </c>
      <c r="S438" s="24">
        <v>0.0</v>
      </c>
      <c r="T438" s="24" t="s">
        <v>143</v>
      </c>
      <c r="U438" s="100" t="s">
        <v>42</v>
      </c>
      <c r="W438" s="60"/>
      <c r="X438" s="47"/>
      <c r="Y438" s="48"/>
    </row>
    <row r="439">
      <c r="A439" s="68">
        <v>425.0</v>
      </c>
      <c r="B439" s="69" t="s">
        <v>82</v>
      </c>
      <c r="C439" s="80" t="str">
        <f>HYPERLINK("https://azurlane.koumakan.jp/Suruga","Suruga")</f>
        <v>Suruga</v>
      </c>
      <c r="D439" s="35" t="s">
        <v>32</v>
      </c>
      <c r="E439" s="35">
        <v>8425.0</v>
      </c>
      <c r="F439" s="35">
        <v>426.0</v>
      </c>
      <c r="G439" s="35">
        <v>216.0</v>
      </c>
      <c r="H439" s="35">
        <v>0.0</v>
      </c>
      <c r="I439" s="35">
        <v>220.0</v>
      </c>
      <c r="J439" s="35">
        <v>141.0</v>
      </c>
      <c r="K439" s="35">
        <v>38.0</v>
      </c>
      <c r="L439" s="35" t="s">
        <v>83</v>
      </c>
      <c r="M439" s="35">
        <v>28.0</v>
      </c>
      <c r="N439" s="35">
        <v>70.0</v>
      </c>
      <c r="O439" s="35">
        <v>37.0</v>
      </c>
      <c r="P439" s="35">
        <v>0.0</v>
      </c>
      <c r="Q439" s="35">
        <v>15.0</v>
      </c>
      <c r="R439" s="35">
        <v>0.0</v>
      </c>
      <c r="S439" s="35">
        <v>0.0</v>
      </c>
      <c r="T439" s="35" t="s">
        <v>143</v>
      </c>
      <c r="U439" s="71"/>
      <c r="V439" s="35" t="s">
        <v>76</v>
      </c>
      <c r="W439" s="72">
        <v>0.18055555555555555</v>
      </c>
      <c r="X439" s="73" t="s">
        <v>281</v>
      </c>
      <c r="Y439" s="74"/>
    </row>
    <row r="440">
      <c r="A440" s="41">
        <v>426.0</v>
      </c>
      <c r="B440" s="42" t="s">
        <v>91</v>
      </c>
      <c r="C440" s="43" t="str">
        <f>HYPERLINK("https://azurlane.koumakan.jp/Ryuuhou","Ryuuhou")</f>
        <v>Ryuuhou</v>
      </c>
      <c r="D440" s="24" t="s">
        <v>32</v>
      </c>
      <c r="E440" s="24">
        <v>5105.0</v>
      </c>
      <c r="F440" s="24">
        <v>0.0</v>
      </c>
      <c r="G440" s="24">
        <v>0.0</v>
      </c>
      <c r="H440" s="24">
        <v>321.0</v>
      </c>
      <c r="I440" s="24">
        <v>282.0</v>
      </c>
      <c r="J440" s="24">
        <v>191.0</v>
      </c>
      <c r="K440" s="24">
        <v>71.0</v>
      </c>
      <c r="L440" s="24" t="s">
        <v>71</v>
      </c>
      <c r="M440" s="24">
        <v>26.0</v>
      </c>
      <c r="N440" s="24">
        <v>86.0</v>
      </c>
      <c r="O440" s="24">
        <v>70.0</v>
      </c>
      <c r="P440" s="24">
        <v>114.0</v>
      </c>
      <c r="Q440" s="24">
        <v>12.0</v>
      </c>
      <c r="R440" s="24">
        <v>0.0</v>
      </c>
      <c r="S440" s="24">
        <v>0.0</v>
      </c>
      <c r="T440" s="24" t="s">
        <v>143</v>
      </c>
      <c r="U440" s="45"/>
      <c r="V440" s="103" t="s">
        <v>76</v>
      </c>
      <c r="W440" s="104">
        <v>0.09861111111111111</v>
      </c>
      <c r="X440" s="67" t="s">
        <v>281</v>
      </c>
      <c r="Y440" s="48"/>
    </row>
    <row r="441">
      <c r="A441" s="68">
        <v>427.0</v>
      </c>
      <c r="B441" s="69" t="s">
        <v>27</v>
      </c>
      <c r="C441" s="80" t="str">
        <f>HYPERLINK("https://azurlane.koumakan.jp/Halsey_Powell","Halsey Powell")</f>
        <v>Halsey Powell</v>
      </c>
      <c r="D441" s="35" t="s">
        <v>36</v>
      </c>
      <c r="E441" s="35">
        <v>2146.0</v>
      </c>
      <c r="F441" s="35">
        <v>82.0</v>
      </c>
      <c r="G441" s="35">
        <v>284.0</v>
      </c>
      <c r="H441" s="35">
        <v>0.0</v>
      </c>
      <c r="I441" s="35">
        <v>224.0</v>
      </c>
      <c r="J441" s="35">
        <v>205.0</v>
      </c>
      <c r="K441" s="35">
        <v>206.0</v>
      </c>
      <c r="L441" s="35" t="s">
        <v>29</v>
      </c>
      <c r="M441" s="35">
        <v>42.0</v>
      </c>
      <c r="N441" s="35">
        <v>222.0</v>
      </c>
      <c r="O441" s="35">
        <v>55.0</v>
      </c>
      <c r="P441" s="35">
        <v>217.0</v>
      </c>
      <c r="Q441" s="35">
        <v>9.0</v>
      </c>
      <c r="R441" s="35">
        <v>0.0</v>
      </c>
      <c r="S441" s="35">
        <v>0.0</v>
      </c>
      <c r="T441" s="35" t="s">
        <v>37</v>
      </c>
      <c r="U441" s="71"/>
      <c r="V441" s="81" t="s">
        <v>76</v>
      </c>
      <c r="W441" s="83"/>
      <c r="X441" s="73" t="s">
        <v>116</v>
      </c>
      <c r="Y441" s="74"/>
    </row>
    <row r="442">
      <c r="A442" s="41">
        <v>428.0</v>
      </c>
      <c r="B442" s="42" t="s">
        <v>52</v>
      </c>
      <c r="C442" s="43" t="str">
        <f>HYPERLINK("https://azurlane.koumakan.jp/Biloxi","Biloxi")</f>
        <v>Biloxi</v>
      </c>
      <c r="D442" s="24" t="s">
        <v>28</v>
      </c>
      <c r="E442" s="24">
        <v>4406.0</v>
      </c>
      <c r="F442" s="24">
        <v>153.0</v>
      </c>
      <c r="G442" s="24">
        <v>0.0</v>
      </c>
      <c r="H442" s="24">
        <v>0.0</v>
      </c>
      <c r="I442" s="24">
        <v>330.0</v>
      </c>
      <c r="J442" s="24">
        <v>190.0</v>
      </c>
      <c r="K442" s="24">
        <v>113.0</v>
      </c>
      <c r="L442" s="24" t="s">
        <v>29</v>
      </c>
      <c r="M442" s="24">
        <v>33.0</v>
      </c>
      <c r="N442" s="24">
        <v>173.0</v>
      </c>
      <c r="O442" s="24">
        <v>68.0</v>
      </c>
      <c r="P442" s="24">
        <v>102.0</v>
      </c>
      <c r="Q442" s="24">
        <v>10.0</v>
      </c>
      <c r="R442" s="24">
        <v>0.0</v>
      </c>
      <c r="S442" s="24">
        <v>0.0</v>
      </c>
      <c r="T442" s="24" t="s">
        <v>37</v>
      </c>
      <c r="U442" s="45"/>
      <c r="V442" s="24" t="s">
        <v>76</v>
      </c>
      <c r="W442" s="46"/>
      <c r="X442" s="67" t="s">
        <v>116</v>
      </c>
      <c r="Y442" s="48"/>
    </row>
    <row r="443">
      <c r="A443" s="68">
        <v>429.0</v>
      </c>
      <c r="B443" s="69" t="s">
        <v>27</v>
      </c>
      <c r="C443" s="80" t="str">
        <f>HYPERLINK("https://azurlane.koumakan.jp/Uranami","Uranami")</f>
        <v>Uranami</v>
      </c>
      <c r="D443" s="35" t="s">
        <v>28</v>
      </c>
      <c r="E443" s="35">
        <v>1842.0</v>
      </c>
      <c r="F443" s="35">
        <v>66.0</v>
      </c>
      <c r="G443" s="35">
        <v>510.0</v>
      </c>
      <c r="H443" s="35">
        <v>0.0</v>
      </c>
      <c r="I443" s="35">
        <v>149.0</v>
      </c>
      <c r="J443" s="35">
        <v>210.0</v>
      </c>
      <c r="K443" s="35">
        <v>251.0</v>
      </c>
      <c r="L443" s="35" t="s">
        <v>29</v>
      </c>
      <c r="M443" s="35">
        <v>45.0</v>
      </c>
      <c r="N443" s="35">
        <v>212.0</v>
      </c>
      <c r="O443" s="35">
        <v>75.0</v>
      </c>
      <c r="P443" s="35">
        <v>198.0</v>
      </c>
      <c r="Q443" s="35">
        <v>9.0</v>
      </c>
      <c r="R443" s="35">
        <v>0.0</v>
      </c>
      <c r="S443" s="35">
        <v>0.0</v>
      </c>
      <c r="T443" s="35" t="s">
        <v>143</v>
      </c>
      <c r="U443" s="71"/>
      <c r="V443" s="35" t="s">
        <v>76</v>
      </c>
      <c r="W443" s="97"/>
      <c r="X443" s="73" t="s">
        <v>283</v>
      </c>
      <c r="Y443" s="74"/>
    </row>
    <row r="444">
      <c r="A444" s="41">
        <v>431.0</v>
      </c>
      <c r="B444" s="42" t="s">
        <v>27</v>
      </c>
      <c r="C444" s="99" t="s">
        <v>284</v>
      </c>
      <c r="D444" s="24" t="s">
        <v>28</v>
      </c>
      <c r="E444" s="24">
        <v>2556.0</v>
      </c>
      <c r="F444" s="24">
        <v>126.0</v>
      </c>
      <c r="G444" s="24">
        <v>181.0</v>
      </c>
      <c r="H444" s="24">
        <v>0.0</v>
      </c>
      <c r="I444" s="24">
        <v>208.0</v>
      </c>
      <c r="J444" s="24">
        <v>202.0</v>
      </c>
      <c r="K444" s="24">
        <v>213.0</v>
      </c>
      <c r="L444" s="24" t="s">
        <v>29</v>
      </c>
      <c r="M444" s="24">
        <v>45.0</v>
      </c>
      <c r="N444" s="24">
        <v>206.0</v>
      </c>
      <c r="O444" s="24">
        <v>60.0</v>
      </c>
      <c r="P444" s="24">
        <v>202.0</v>
      </c>
      <c r="Q444" s="24">
        <v>9.0</v>
      </c>
      <c r="R444" s="24">
        <v>0.0</v>
      </c>
      <c r="S444" s="24">
        <v>0.0</v>
      </c>
      <c r="T444" s="24" t="s">
        <v>212</v>
      </c>
      <c r="U444" s="45"/>
      <c r="V444" s="103" t="s">
        <v>76</v>
      </c>
      <c r="W444" s="104">
        <v>0.022222222222222223</v>
      </c>
      <c r="X444" s="67" t="s">
        <v>285</v>
      </c>
      <c r="Y444" s="48"/>
    </row>
    <row r="445">
      <c r="A445" s="68">
        <v>432.0</v>
      </c>
      <c r="B445" s="69" t="s">
        <v>27</v>
      </c>
      <c r="C445" s="70" t="s">
        <v>286</v>
      </c>
      <c r="D445" s="35" t="s">
        <v>28</v>
      </c>
      <c r="E445" s="35">
        <v>2675.0</v>
      </c>
      <c r="F445" s="35">
        <v>147.0</v>
      </c>
      <c r="G445" s="35">
        <v>231.0</v>
      </c>
      <c r="H445" s="35">
        <v>0.0</v>
      </c>
      <c r="I445" s="35">
        <v>175.0</v>
      </c>
      <c r="J445" s="35">
        <v>204.0</v>
      </c>
      <c r="K445" s="35">
        <v>227.0</v>
      </c>
      <c r="L445" s="35" t="s">
        <v>29</v>
      </c>
      <c r="M445" s="35">
        <v>48.0</v>
      </c>
      <c r="N445" s="35">
        <v>206.0</v>
      </c>
      <c r="O445" s="35">
        <v>58.0</v>
      </c>
      <c r="P445" s="35">
        <v>206.0</v>
      </c>
      <c r="Q445" s="35">
        <v>9.0</v>
      </c>
      <c r="R445" s="35">
        <v>0.0</v>
      </c>
      <c r="S445" s="35">
        <v>0.0</v>
      </c>
      <c r="T445" s="35" t="s">
        <v>212</v>
      </c>
      <c r="U445" s="71"/>
      <c r="V445" s="35" t="s">
        <v>76</v>
      </c>
      <c r="W445" s="97"/>
      <c r="X445" s="73" t="s">
        <v>287</v>
      </c>
      <c r="Y445" s="74"/>
    </row>
    <row r="446">
      <c r="A446" s="41">
        <v>433.0</v>
      </c>
      <c r="B446" s="42" t="s">
        <v>27</v>
      </c>
      <c r="C446" s="43" t="str">
        <f>HYPERLINK("https://azurlane.koumakan.jp/Tashkent","Tashkent")</f>
        <v>Tashkent</v>
      </c>
      <c r="D446" s="24" t="s">
        <v>32</v>
      </c>
      <c r="E446" s="24">
        <v>2713.0</v>
      </c>
      <c r="F446" s="24">
        <v>182.0</v>
      </c>
      <c r="G446" s="24">
        <v>283.0</v>
      </c>
      <c r="H446" s="24">
        <v>0.0</v>
      </c>
      <c r="I446" s="24">
        <v>180.0</v>
      </c>
      <c r="J446" s="24">
        <v>207.0</v>
      </c>
      <c r="K446" s="24">
        <v>231.0</v>
      </c>
      <c r="L446" s="24" t="s">
        <v>29</v>
      </c>
      <c r="M446" s="24">
        <v>51.0</v>
      </c>
      <c r="N446" s="24">
        <v>210.0</v>
      </c>
      <c r="O446" s="24">
        <v>86.0</v>
      </c>
      <c r="P446" s="24">
        <v>211.0</v>
      </c>
      <c r="Q446" s="24">
        <v>10.0</v>
      </c>
      <c r="R446" s="24">
        <v>0.0</v>
      </c>
      <c r="S446" s="24">
        <v>0.0</v>
      </c>
      <c r="T446" s="24" t="s">
        <v>212</v>
      </c>
      <c r="U446" s="45"/>
      <c r="V446" s="103" t="s">
        <v>76</v>
      </c>
      <c r="W446" s="104">
        <v>0.029166666666666667</v>
      </c>
      <c r="X446" s="67" t="s">
        <v>285</v>
      </c>
      <c r="Y446" s="48"/>
    </row>
    <row r="447">
      <c r="A447" s="68">
        <v>434.0</v>
      </c>
      <c r="B447" s="69" t="s">
        <v>52</v>
      </c>
      <c r="C447" s="80" t="str">
        <f>HYPERLINK("https://azurlane.koumakan.jp/Pamiat_Merkuria","Pamiat Merkuria")</f>
        <v>Pamiat Merkuria</v>
      </c>
      <c r="D447" s="35" t="s">
        <v>28</v>
      </c>
      <c r="E447" s="35">
        <v>3130.0</v>
      </c>
      <c r="F447" s="35">
        <v>84.0</v>
      </c>
      <c r="G447" s="35">
        <v>144.0</v>
      </c>
      <c r="H447" s="35">
        <v>0.0</v>
      </c>
      <c r="I447" s="35">
        <v>148.0</v>
      </c>
      <c r="J447" s="35">
        <v>141.0</v>
      </c>
      <c r="K447" s="35">
        <v>103.0</v>
      </c>
      <c r="L447" s="35" t="s">
        <v>71</v>
      </c>
      <c r="M447" s="35">
        <v>23.0</v>
      </c>
      <c r="N447" s="35">
        <v>140.0</v>
      </c>
      <c r="O447" s="35">
        <v>88.0</v>
      </c>
      <c r="P447" s="35">
        <v>56.0</v>
      </c>
      <c r="Q447" s="35">
        <v>10.0</v>
      </c>
      <c r="R447" s="35">
        <v>0.0</v>
      </c>
      <c r="S447" s="35">
        <v>0.0</v>
      </c>
      <c r="T447" s="35" t="s">
        <v>212</v>
      </c>
      <c r="U447" s="71"/>
      <c r="V447" s="35" t="s">
        <v>76</v>
      </c>
      <c r="W447" s="72">
        <v>0.05347222222222222</v>
      </c>
      <c r="X447" s="73" t="s">
        <v>285</v>
      </c>
      <c r="Y447" s="74"/>
    </row>
    <row r="448">
      <c r="A448" s="41">
        <v>434.1</v>
      </c>
      <c r="B448" s="42" t="s">
        <v>52</v>
      </c>
      <c r="C448" s="99" t="s">
        <v>288</v>
      </c>
      <c r="D448" s="24" t="s">
        <v>32</v>
      </c>
      <c r="E448" s="24">
        <v>3370.0</v>
      </c>
      <c r="F448" s="24">
        <v>129.0</v>
      </c>
      <c r="G448" s="24">
        <v>164.0</v>
      </c>
      <c r="H448" s="24">
        <v>0.0</v>
      </c>
      <c r="I448" s="24">
        <v>198.0</v>
      </c>
      <c r="J448" s="24">
        <v>141.0</v>
      </c>
      <c r="K448" s="24">
        <v>103.0</v>
      </c>
      <c r="L448" s="24" t="s">
        <v>71</v>
      </c>
      <c r="M448" s="24">
        <v>23.0</v>
      </c>
      <c r="N448" s="24">
        <v>150.0</v>
      </c>
      <c r="O448" s="24">
        <v>88.0</v>
      </c>
      <c r="P448" s="24">
        <v>56.0</v>
      </c>
      <c r="Q448" s="24">
        <v>10.0</v>
      </c>
      <c r="R448" s="24">
        <v>0.0</v>
      </c>
      <c r="S448" s="24">
        <v>0.0</v>
      </c>
      <c r="T448" s="24" t="s">
        <v>212</v>
      </c>
      <c r="U448" s="100" t="s">
        <v>42</v>
      </c>
      <c r="W448" s="60"/>
      <c r="X448" s="47"/>
      <c r="Y448" s="48"/>
    </row>
    <row r="449">
      <c r="A449" s="68">
        <v>435.0</v>
      </c>
      <c r="B449" s="69" t="s">
        <v>52</v>
      </c>
      <c r="C449" s="70" t="s">
        <v>289</v>
      </c>
      <c r="D449" s="35" t="s">
        <v>32</v>
      </c>
      <c r="E449" s="35">
        <v>4168.0</v>
      </c>
      <c r="F449" s="35">
        <v>185.0</v>
      </c>
      <c r="G449" s="35">
        <v>300.0</v>
      </c>
      <c r="H449" s="35">
        <v>0.0</v>
      </c>
      <c r="I449" s="35">
        <v>351.0</v>
      </c>
      <c r="J449" s="35">
        <v>190.0</v>
      </c>
      <c r="K449" s="35">
        <v>130.0</v>
      </c>
      <c r="L449" s="35" t="s">
        <v>29</v>
      </c>
      <c r="M449" s="35">
        <v>36.0</v>
      </c>
      <c r="N449" s="35">
        <v>162.0</v>
      </c>
      <c r="O449" s="35">
        <v>52.0</v>
      </c>
      <c r="P449" s="35">
        <v>156.0</v>
      </c>
      <c r="Q449" s="35">
        <v>11.0</v>
      </c>
      <c r="R449" s="35">
        <v>0.0</v>
      </c>
      <c r="S449" s="35">
        <v>0.0</v>
      </c>
      <c r="T449" s="35" t="s">
        <v>212</v>
      </c>
      <c r="U449" s="71"/>
      <c r="V449" s="35" t="s">
        <v>76</v>
      </c>
      <c r="W449" s="72">
        <v>0.06388888888888888</v>
      </c>
      <c r="X449" s="73" t="s">
        <v>290</v>
      </c>
      <c r="Y449" s="74"/>
    </row>
    <row r="450">
      <c r="A450" s="41">
        <v>436.0</v>
      </c>
      <c r="B450" s="42" t="s">
        <v>52</v>
      </c>
      <c r="C450" s="43" t="str">
        <f>HYPERLINK("https://azurlane.koumakan.jp/Chapayev","Chapayev")</f>
        <v>Chapayev</v>
      </c>
      <c r="D450" s="24" t="s">
        <v>32</v>
      </c>
      <c r="E450" s="24">
        <v>4451.0</v>
      </c>
      <c r="F450" s="24">
        <v>174.0</v>
      </c>
      <c r="G450" s="24">
        <v>0.0</v>
      </c>
      <c r="H450" s="24">
        <v>0.0</v>
      </c>
      <c r="I450" s="24">
        <v>341.0</v>
      </c>
      <c r="J450" s="24">
        <v>197.0</v>
      </c>
      <c r="K450" s="24">
        <v>110.0</v>
      </c>
      <c r="L450" s="24" t="s">
        <v>29</v>
      </c>
      <c r="M450" s="24">
        <v>33.0</v>
      </c>
      <c r="N450" s="24">
        <v>168.0</v>
      </c>
      <c r="O450" s="24">
        <v>68.0</v>
      </c>
      <c r="P450" s="24">
        <v>149.0</v>
      </c>
      <c r="Q450" s="24">
        <v>11.0</v>
      </c>
      <c r="R450" s="24">
        <v>0.0</v>
      </c>
      <c r="S450" s="24">
        <v>0.0</v>
      </c>
      <c r="T450" s="24" t="s">
        <v>212</v>
      </c>
      <c r="U450" s="45"/>
      <c r="V450" s="24" t="s">
        <v>76</v>
      </c>
      <c r="W450" s="46"/>
      <c r="X450" s="67" t="s">
        <v>291</v>
      </c>
      <c r="Y450" s="48"/>
    </row>
    <row r="451">
      <c r="A451" s="68">
        <v>437.0</v>
      </c>
      <c r="B451" s="69" t="s">
        <v>82</v>
      </c>
      <c r="C451" s="80" t="str">
        <f>HYPERLINK("https://azurlane.koumakan.jp/Gangut","Gangut")</f>
        <v>Gangut</v>
      </c>
      <c r="D451" s="35" t="s">
        <v>28</v>
      </c>
      <c r="E451" s="35">
        <v>6645.0</v>
      </c>
      <c r="F451" s="35">
        <v>328.0</v>
      </c>
      <c r="G451" s="35">
        <v>0.0</v>
      </c>
      <c r="H451" s="35">
        <v>0.0</v>
      </c>
      <c r="I451" s="35">
        <v>177.0</v>
      </c>
      <c r="J451" s="35">
        <v>151.0</v>
      </c>
      <c r="K451" s="35">
        <v>34.0</v>
      </c>
      <c r="L451" s="35" t="s">
        <v>83</v>
      </c>
      <c r="M451" s="35">
        <v>24.0</v>
      </c>
      <c r="N451" s="35">
        <v>63.0</v>
      </c>
      <c r="O451" s="35">
        <v>85.0</v>
      </c>
      <c r="P451" s="35">
        <v>0.0</v>
      </c>
      <c r="Q451" s="35">
        <v>14.0</v>
      </c>
      <c r="R451" s="35">
        <v>0.0</v>
      </c>
      <c r="S451" s="35">
        <v>0.0</v>
      </c>
      <c r="T451" s="35" t="s">
        <v>212</v>
      </c>
      <c r="U451" s="71"/>
      <c r="V451" s="35" t="s">
        <v>76</v>
      </c>
      <c r="W451" s="97"/>
      <c r="X451" s="73" t="s">
        <v>292</v>
      </c>
      <c r="Y451" s="74"/>
    </row>
    <row r="452">
      <c r="A452" s="41">
        <v>440.0</v>
      </c>
      <c r="B452" s="42" t="s">
        <v>82</v>
      </c>
      <c r="C452" s="99" t="s">
        <v>293</v>
      </c>
      <c r="D452" s="24" t="s">
        <v>32</v>
      </c>
      <c r="E452" s="24">
        <v>8459.0</v>
      </c>
      <c r="F452" s="24">
        <v>434.0</v>
      </c>
      <c r="G452" s="24">
        <v>0.0</v>
      </c>
      <c r="H452" s="24">
        <v>0.0</v>
      </c>
      <c r="I452" s="24">
        <v>220.0</v>
      </c>
      <c r="J452" s="24">
        <v>158.0</v>
      </c>
      <c r="K452" s="24">
        <v>36.0</v>
      </c>
      <c r="L452" s="24" t="s">
        <v>83</v>
      </c>
      <c r="M452" s="24">
        <v>28.0</v>
      </c>
      <c r="N452" s="24">
        <v>78.0</v>
      </c>
      <c r="O452" s="24">
        <v>46.0</v>
      </c>
      <c r="P452" s="24">
        <v>0.0</v>
      </c>
      <c r="Q452" s="24">
        <v>15.0</v>
      </c>
      <c r="R452" s="24">
        <v>0.0</v>
      </c>
      <c r="S452" s="24">
        <v>0.0</v>
      </c>
      <c r="T452" s="24" t="s">
        <v>212</v>
      </c>
      <c r="U452" s="45"/>
      <c r="V452" s="24" t="s">
        <v>76</v>
      </c>
      <c r="W452" s="66">
        <v>0.2659722222222222</v>
      </c>
      <c r="X452" s="67" t="s">
        <v>290</v>
      </c>
      <c r="Y452" s="48"/>
    </row>
    <row r="453">
      <c r="A453" s="68">
        <v>441.0</v>
      </c>
      <c r="B453" s="69" t="s">
        <v>82</v>
      </c>
      <c r="C453" s="80" t="str">
        <f>HYPERLINK("https://azurlane.koumakan.jp/Sovetskaya_Rossiya","Sovetskaya Rossiya")</f>
        <v>Sovetskaya Rossiya</v>
      </c>
      <c r="D453" s="35" t="s">
        <v>32</v>
      </c>
      <c r="E453" s="35">
        <v>8522.0</v>
      </c>
      <c r="F453" s="35">
        <v>433.0</v>
      </c>
      <c r="G453" s="35">
        <v>0.0</v>
      </c>
      <c r="H453" s="35">
        <v>0.0</v>
      </c>
      <c r="I453" s="35">
        <v>253.0</v>
      </c>
      <c r="J453" s="35">
        <v>141.0</v>
      </c>
      <c r="K453" s="35">
        <v>36.0</v>
      </c>
      <c r="L453" s="35" t="s">
        <v>83</v>
      </c>
      <c r="M453" s="35">
        <v>28.0</v>
      </c>
      <c r="N453" s="35">
        <v>60.0</v>
      </c>
      <c r="O453" s="35">
        <v>46.0</v>
      </c>
      <c r="P453" s="35">
        <v>0.0</v>
      </c>
      <c r="Q453" s="35">
        <v>15.0</v>
      </c>
      <c r="R453" s="35">
        <v>0.0</v>
      </c>
      <c r="S453" s="35">
        <v>0.0</v>
      </c>
      <c r="T453" s="35" t="s">
        <v>212</v>
      </c>
      <c r="U453" s="71"/>
      <c r="V453" s="81" t="s">
        <v>76</v>
      </c>
      <c r="W453" s="82">
        <v>0.2659722222222222</v>
      </c>
      <c r="X453" s="73" t="s">
        <v>285</v>
      </c>
      <c r="Y453" s="74"/>
    </row>
    <row r="454">
      <c r="A454" s="41">
        <v>442.0</v>
      </c>
      <c r="B454" s="42" t="s">
        <v>95</v>
      </c>
      <c r="C454" s="43" t="str">
        <f>HYPERLINK("https://azurlane.koumakan.jp/Intrepid","Intrepid")</f>
        <v>Intrepid</v>
      </c>
      <c r="D454" s="24" t="s">
        <v>32</v>
      </c>
      <c r="E454" s="24">
        <v>6792.0</v>
      </c>
      <c r="F454" s="24">
        <v>0.0</v>
      </c>
      <c r="G454" s="24">
        <v>0.0</v>
      </c>
      <c r="H454" s="24">
        <v>436.0</v>
      </c>
      <c r="I454" s="24">
        <v>338.0</v>
      </c>
      <c r="J454" s="24">
        <v>132.0</v>
      </c>
      <c r="K454" s="24">
        <v>56.0</v>
      </c>
      <c r="L454" s="24" t="s">
        <v>71</v>
      </c>
      <c r="M454" s="24">
        <v>33.0</v>
      </c>
      <c r="N454" s="24">
        <v>87.0</v>
      </c>
      <c r="O454" s="24">
        <v>68.0</v>
      </c>
      <c r="P454" s="24">
        <v>0.0</v>
      </c>
      <c r="Q454" s="24">
        <v>13.0</v>
      </c>
      <c r="R454" s="24">
        <v>0.0</v>
      </c>
      <c r="S454" s="24">
        <v>0.0</v>
      </c>
      <c r="T454" s="24" t="s">
        <v>37</v>
      </c>
      <c r="U454" s="45"/>
      <c r="V454" s="24" t="s">
        <v>76</v>
      </c>
      <c r="W454" s="66">
        <v>0.1840277777777778</v>
      </c>
      <c r="X454" s="67" t="s">
        <v>294</v>
      </c>
      <c r="Y454" s="48"/>
    </row>
    <row r="455">
      <c r="A455" s="68">
        <v>443.0</v>
      </c>
      <c r="B455" s="69" t="s">
        <v>66</v>
      </c>
      <c r="C455" s="80" t="str">
        <f>HYPERLINK("https://azurlane.koumakan.jp/Bremerton","Bremerton")</f>
        <v>Bremerton</v>
      </c>
      <c r="D455" s="35" t="s">
        <v>32</v>
      </c>
      <c r="E455" s="35">
        <v>4939.0</v>
      </c>
      <c r="F455" s="35">
        <v>271.0</v>
      </c>
      <c r="G455" s="35">
        <v>0.0</v>
      </c>
      <c r="H455" s="35">
        <v>0.0</v>
      </c>
      <c r="I455" s="35">
        <v>272.0</v>
      </c>
      <c r="J455" s="35">
        <v>186.0</v>
      </c>
      <c r="K455" s="35">
        <v>59.0</v>
      </c>
      <c r="L455" s="35" t="s">
        <v>71</v>
      </c>
      <c r="M455" s="35">
        <v>26.0</v>
      </c>
      <c r="N455" s="35">
        <v>139.0</v>
      </c>
      <c r="O455" s="35">
        <v>55.0</v>
      </c>
      <c r="P455" s="35">
        <v>0.0</v>
      </c>
      <c r="Q455" s="35">
        <v>12.0</v>
      </c>
      <c r="R455" s="35">
        <v>0.0</v>
      </c>
      <c r="S455" s="35">
        <v>0.0</v>
      </c>
      <c r="T455" s="35" t="s">
        <v>37</v>
      </c>
      <c r="U455" s="71"/>
      <c r="V455" s="35" t="s">
        <v>76</v>
      </c>
      <c r="W455" s="97"/>
      <c r="X455" s="73" t="s">
        <v>295</v>
      </c>
      <c r="Y455" s="74"/>
    </row>
    <row r="456">
      <c r="A456" s="41">
        <v>444.0</v>
      </c>
      <c r="B456" s="42" t="s">
        <v>27</v>
      </c>
      <c r="C456" s="43" t="str">
        <f>HYPERLINK("https://azurlane.koumakan.jp/Cooper","Cooper")</f>
        <v>Cooper</v>
      </c>
      <c r="D456" s="24" t="s">
        <v>28</v>
      </c>
      <c r="E456" s="24">
        <v>2244.0</v>
      </c>
      <c r="F456" s="24">
        <v>128.0</v>
      </c>
      <c r="G456" s="24">
        <v>365.0</v>
      </c>
      <c r="H456" s="24">
        <v>0.0</v>
      </c>
      <c r="I456" s="24">
        <v>204.0</v>
      </c>
      <c r="J456" s="24">
        <v>223.0</v>
      </c>
      <c r="K456" s="24">
        <v>230.0</v>
      </c>
      <c r="L456" s="24" t="s">
        <v>29</v>
      </c>
      <c r="M456" s="24">
        <v>40.0</v>
      </c>
      <c r="N456" s="24">
        <v>228.0</v>
      </c>
      <c r="O456" s="24">
        <v>22.0</v>
      </c>
      <c r="P456" s="24">
        <v>218.0</v>
      </c>
      <c r="Q456" s="24">
        <v>9.0</v>
      </c>
      <c r="R456" s="24">
        <v>0.0</v>
      </c>
      <c r="S456" s="24">
        <v>0.0</v>
      </c>
      <c r="T456" s="24" t="s">
        <v>37</v>
      </c>
      <c r="U456" s="45"/>
      <c r="V456" s="24" t="s">
        <v>76</v>
      </c>
      <c r="W456" s="66">
        <v>0.02013888888888889</v>
      </c>
      <c r="X456" s="67" t="s">
        <v>294</v>
      </c>
      <c r="Y456" s="48"/>
    </row>
    <row r="457">
      <c r="A457" s="68">
        <v>445.0</v>
      </c>
      <c r="B457" s="69" t="s">
        <v>52</v>
      </c>
      <c r="C457" s="80" t="str">
        <f>HYPERLINK("https://azurlane.koumakan.jp/Reno","Reno")</f>
        <v>Reno</v>
      </c>
      <c r="D457" s="35" t="s">
        <v>32</v>
      </c>
      <c r="E457" s="35">
        <v>3842.0</v>
      </c>
      <c r="F457" s="35">
        <v>150.0</v>
      </c>
      <c r="G457" s="35">
        <v>199.0</v>
      </c>
      <c r="H457" s="35">
        <v>0.0</v>
      </c>
      <c r="I457" s="35">
        <v>489.0</v>
      </c>
      <c r="J457" s="35">
        <v>193.0</v>
      </c>
      <c r="K457" s="35">
        <v>112.0</v>
      </c>
      <c r="L457" s="35" t="s">
        <v>29</v>
      </c>
      <c r="M457" s="35">
        <v>32.0</v>
      </c>
      <c r="N457" s="35">
        <v>173.0</v>
      </c>
      <c r="O457" s="35">
        <v>52.0</v>
      </c>
      <c r="P457" s="35">
        <v>206.0</v>
      </c>
      <c r="Q457" s="35">
        <v>11.0</v>
      </c>
      <c r="R457" s="35">
        <v>0.0</v>
      </c>
      <c r="S457" s="35">
        <v>0.0</v>
      </c>
      <c r="T457" s="35" t="s">
        <v>37</v>
      </c>
      <c r="U457" s="71"/>
      <c r="V457" s="35" t="s">
        <v>76</v>
      </c>
      <c r="W457" s="97"/>
      <c r="X457" s="73" t="s">
        <v>294</v>
      </c>
      <c r="Y457" s="74"/>
    </row>
    <row r="458" ht="15.75" customHeight="1">
      <c r="A458" s="41">
        <v>446.0</v>
      </c>
      <c r="B458" s="42" t="s">
        <v>242</v>
      </c>
      <c r="C458" s="43" t="str">
        <f>HYPERLINK("https://azurlane.koumakan.jp/Bluegill","Bluegill")</f>
        <v>Bluegill</v>
      </c>
      <c r="D458" s="24" t="s">
        <v>28</v>
      </c>
      <c r="E458" s="24">
        <v>1733.0</v>
      </c>
      <c r="F458" s="24">
        <v>72.0</v>
      </c>
      <c r="G458" s="24">
        <v>505.0</v>
      </c>
      <c r="H458" s="24">
        <v>0.0</v>
      </c>
      <c r="I458" s="24">
        <v>0.0</v>
      </c>
      <c r="J458" s="24">
        <v>88.0</v>
      </c>
      <c r="K458" s="24">
        <v>43.0</v>
      </c>
      <c r="L458" s="24" t="s">
        <v>29</v>
      </c>
      <c r="M458" s="24">
        <v>16.0</v>
      </c>
      <c r="N458" s="24">
        <v>180.0</v>
      </c>
      <c r="O458" s="24">
        <v>65.0</v>
      </c>
      <c r="P458" s="24">
        <v>0.0</v>
      </c>
      <c r="Q458" s="24">
        <v>6.0</v>
      </c>
      <c r="R458" s="24">
        <v>243.0</v>
      </c>
      <c r="S458" s="24">
        <v>2.0</v>
      </c>
      <c r="T458" s="24" t="s">
        <v>37</v>
      </c>
      <c r="U458" s="45"/>
      <c r="V458" s="24" t="s">
        <v>76</v>
      </c>
      <c r="W458" s="46"/>
      <c r="X458" s="67" t="s">
        <v>296</v>
      </c>
      <c r="Y458" s="48"/>
    </row>
    <row r="459">
      <c r="A459" s="68">
        <v>447.0</v>
      </c>
      <c r="B459" s="69" t="s">
        <v>91</v>
      </c>
      <c r="C459" s="80" t="str">
        <f>HYPERLINK("https://azurlane.koumakan.jp/Casablanca","Casablanca")</f>
        <v>Casablanca</v>
      </c>
      <c r="D459" s="35" t="s">
        <v>36</v>
      </c>
      <c r="E459" s="35">
        <v>4822.0</v>
      </c>
      <c r="F459" s="35">
        <v>0.0</v>
      </c>
      <c r="G459" s="35">
        <v>0.0</v>
      </c>
      <c r="H459" s="35">
        <v>290.0</v>
      </c>
      <c r="I459" s="35">
        <v>264.0</v>
      </c>
      <c r="J459" s="35">
        <v>196.0</v>
      </c>
      <c r="K459" s="35">
        <v>64.0</v>
      </c>
      <c r="L459" s="35" t="s">
        <v>71</v>
      </c>
      <c r="M459" s="35">
        <v>19.0</v>
      </c>
      <c r="N459" s="35">
        <v>75.0</v>
      </c>
      <c r="O459" s="35">
        <v>65.0</v>
      </c>
      <c r="P459" s="35">
        <v>119.0</v>
      </c>
      <c r="Q459" s="35">
        <v>10.0</v>
      </c>
      <c r="R459" s="35">
        <v>0.0</v>
      </c>
      <c r="S459" s="35">
        <v>0.0</v>
      </c>
      <c r="T459" s="35" t="s">
        <v>37</v>
      </c>
      <c r="U459" s="71"/>
      <c r="V459" s="35" t="s">
        <v>76</v>
      </c>
      <c r="W459" s="97"/>
      <c r="X459" s="73" t="s">
        <v>297</v>
      </c>
      <c r="Y459" s="74"/>
    </row>
    <row r="460">
      <c r="A460" s="41">
        <v>448.0</v>
      </c>
      <c r="B460" s="42" t="s">
        <v>52</v>
      </c>
      <c r="C460" s="43" t="str">
        <f>HYPERLINK("https://azurlane.koumakan.jp/Marblehead","Marblehead")</f>
        <v>Marblehead</v>
      </c>
      <c r="D460" s="24" t="s">
        <v>36</v>
      </c>
      <c r="E460" s="24">
        <v>3378.0</v>
      </c>
      <c r="F460" s="24">
        <v>137.0</v>
      </c>
      <c r="G460" s="24">
        <v>248.0</v>
      </c>
      <c r="H460" s="24">
        <v>0.0</v>
      </c>
      <c r="I460" s="24">
        <v>292.0</v>
      </c>
      <c r="J460" s="24">
        <v>188.0</v>
      </c>
      <c r="K460" s="24">
        <v>120.0</v>
      </c>
      <c r="L460" s="24" t="s">
        <v>29</v>
      </c>
      <c r="M460" s="24">
        <v>35.0</v>
      </c>
      <c r="N460" s="24">
        <v>156.0</v>
      </c>
      <c r="O460" s="24">
        <v>55.0</v>
      </c>
      <c r="P460" s="24">
        <v>84.0</v>
      </c>
      <c r="Q460" s="24">
        <v>9.0</v>
      </c>
      <c r="R460" s="24">
        <v>0.0</v>
      </c>
      <c r="S460" s="24">
        <v>0.0</v>
      </c>
      <c r="T460" s="24" t="s">
        <v>37</v>
      </c>
      <c r="U460" s="45"/>
      <c r="V460" s="103" t="s">
        <v>76</v>
      </c>
      <c r="W460" s="104">
        <v>0.04513888888888889</v>
      </c>
      <c r="X460" s="67" t="s">
        <v>294</v>
      </c>
      <c r="Y460" s="48"/>
    </row>
    <row r="461">
      <c r="A461" s="68">
        <v>449.0</v>
      </c>
      <c r="B461" s="69" t="s">
        <v>27</v>
      </c>
      <c r="C461" s="125" t="str">
        <f>HYPERLINK("https://azurlane.koumakan.jp/Hanazuki","Hanazuki")</f>
        <v>Hanazuki</v>
      </c>
      <c r="D461" s="35" t="s">
        <v>28</v>
      </c>
      <c r="E461" s="33">
        <v>2504.0</v>
      </c>
      <c r="F461" s="33">
        <v>77.0</v>
      </c>
      <c r="G461" s="33">
        <v>375.0</v>
      </c>
      <c r="H461" s="35">
        <v>0.0</v>
      </c>
      <c r="I461" s="33">
        <v>204.0</v>
      </c>
      <c r="J461" s="35">
        <v>213.0</v>
      </c>
      <c r="K461" s="33">
        <v>232.0</v>
      </c>
      <c r="L461" s="35" t="s">
        <v>29</v>
      </c>
      <c r="M461" s="35">
        <v>39.0</v>
      </c>
      <c r="N461" s="35">
        <v>203.0</v>
      </c>
      <c r="O461" s="35">
        <v>65.0</v>
      </c>
      <c r="P461" s="35">
        <v>203.0</v>
      </c>
      <c r="Q461" s="35">
        <v>9.0</v>
      </c>
      <c r="R461" s="35">
        <v>0.0</v>
      </c>
      <c r="S461" s="35">
        <v>0.0</v>
      </c>
      <c r="T461" s="35" t="s">
        <v>143</v>
      </c>
      <c r="U461" s="71"/>
      <c r="V461" s="35" t="s">
        <v>76</v>
      </c>
      <c r="W461" s="72">
        <v>0.02013888888888889</v>
      </c>
      <c r="X461" s="39" t="s">
        <v>169</v>
      </c>
      <c r="Y461" s="74"/>
    </row>
    <row r="462">
      <c r="A462" s="41">
        <v>450.0</v>
      </c>
      <c r="B462" s="42" t="s">
        <v>27</v>
      </c>
      <c r="C462" s="43" t="str">
        <f>HYPERLINK("https://azurlane.koumakan.jp/Naganami","Naganami")</f>
        <v>Naganami</v>
      </c>
      <c r="D462" s="24" t="s">
        <v>28</v>
      </c>
      <c r="E462" s="22">
        <v>2210.0</v>
      </c>
      <c r="F462" s="22">
        <v>66.0</v>
      </c>
      <c r="G462" s="22">
        <v>536.0</v>
      </c>
      <c r="H462" s="24">
        <v>0.0</v>
      </c>
      <c r="I462" s="22">
        <v>159.0</v>
      </c>
      <c r="J462" s="24">
        <v>218.0</v>
      </c>
      <c r="K462" s="22">
        <v>246.0</v>
      </c>
      <c r="L462" s="24" t="s">
        <v>29</v>
      </c>
      <c r="M462" s="24">
        <v>42.0</v>
      </c>
      <c r="N462" s="24">
        <v>212.0</v>
      </c>
      <c r="O462" s="24">
        <v>55.0</v>
      </c>
      <c r="P462" s="24">
        <v>195.0</v>
      </c>
      <c r="Q462" s="24">
        <v>9.0</v>
      </c>
      <c r="R462" s="24">
        <v>0.0</v>
      </c>
      <c r="S462" s="24">
        <v>0.0</v>
      </c>
      <c r="T462" s="24" t="s">
        <v>143</v>
      </c>
      <c r="U462" s="45"/>
      <c r="V462" s="103" t="s">
        <v>76</v>
      </c>
      <c r="W462" s="104">
        <v>0.01875</v>
      </c>
      <c r="X462" s="28" t="s">
        <v>169</v>
      </c>
      <c r="Y462" s="48"/>
    </row>
    <row r="463">
      <c r="A463" s="68">
        <v>451.0</v>
      </c>
      <c r="B463" s="69" t="s">
        <v>126</v>
      </c>
      <c r="C463" s="80" t="str">
        <f>HYPERLINK("https://azurlane.koumakan.jp/Little_Renown","Little Renown")</f>
        <v>Little Renown</v>
      </c>
      <c r="D463" s="35" t="s">
        <v>28</v>
      </c>
      <c r="E463" s="33">
        <v>6470.0</v>
      </c>
      <c r="F463" s="33">
        <v>349.0</v>
      </c>
      <c r="G463" s="33">
        <v>0.0</v>
      </c>
      <c r="H463" s="35">
        <v>0.0</v>
      </c>
      <c r="I463" s="33">
        <v>309.0</v>
      </c>
      <c r="J463" s="35">
        <v>155.0</v>
      </c>
      <c r="K463" s="33">
        <v>42.0</v>
      </c>
      <c r="L463" s="35" t="s">
        <v>71</v>
      </c>
      <c r="M463" s="35">
        <v>32.0</v>
      </c>
      <c r="N463" s="35">
        <v>70.0</v>
      </c>
      <c r="O463" s="35">
        <v>85.0</v>
      </c>
      <c r="P463" s="35">
        <v>0.0</v>
      </c>
      <c r="Q463" s="35">
        <v>13.0</v>
      </c>
      <c r="R463" s="35">
        <v>0.0</v>
      </c>
      <c r="S463" s="35">
        <v>0.0</v>
      </c>
      <c r="T463" s="35" t="s">
        <v>104</v>
      </c>
      <c r="U463" s="71"/>
      <c r="V463" s="35" t="s">
        <v>76</v>
      </c>
      <c r="W463" s="97"/>
      <c r="X463" s="73" t="s">
        <v>298</v>
      </c>
      <c r="Y463" s="74"/>
    </row>
    <row r="464">
      <c r="A464" s="41">
        <v>452.0</v>
      </c>
      <c r="B464" s="42" t="s">
        <v>27</v>
      </c>
      <c r="C464" s="43" t="str">
        <f>HYPERLINK("https://azurlane.koumakan.jp/Tartu","Tartu")</f>
        <v>Tartu</v>
      </c>
      <c r="D464" s="24" t="s">
        <v>28</v>
      </c>
      <c r="E464" s="22">
        <v>1914.0</v>
      </c>
      <c r="F464" s="22">
        <v>121.0</v>
      </c>
      <c r="G464" s="22">
        <v>277.0</v>
      </c>
      <c r="H464" s="24">
        <v>0.0</v>
      </c>
      <c r="I464" s="22">
        <v>144.0</v>
      </c>
      <c r="J464" s="24">
        <v>207.0</v>
      </c>
      <c r="K464" s="22">
        <v>272.0</v>
      </c>
      <c r="L464" s="24" t="s">
        <v>29</v>
      </c>
      <c r="M464" s="24">
        <v>43.0</v>
      </c>
      <c r="N464" s="24">
        <v>206.0</v>
      </c>
      <c r="O464" s="24">
        <v>45.0</v>
      </c>
      <c r="P464" s="24">
        <v>211.0</v>
      </c>
      <c r="Q464" s="24">
        <v>9.0</v>
      </c>
      <c r="R464" s="24">
        <v>0.0</v>
      </c>
      <c r="S464" s="24">
        <v>0.0</v>
      </c>
      <c r="T464" s="24" t="s">
        <v>247</v>
      </c>
      <c r="U464" s="45"/>
      <c r="V464" s="103" t="s">
        <v>76</v>
      </c>
      <c r="W464" s="104">
        <v>0.01875</v>
      </c>
      <c r="X464" s="67" t="s">
        <v>299</v>
      </c>
      <c r="Y464" s="48"/>
    </row>
    <row r="465">
      <c r="A465" s="49">
        <v>453.0</v>
      </c>
      <c r="B465" s="50" t="s">
        <v>82</v>
      </c>
      <c r="C465" s="51" t="s">
        <v>300</v>
      </c>
      <c r="D465" s="37" t="s">
        <v>32</v>
      </c>
      <c r="E465" s="33">
        <v>8629.0</v>
      </c>
      <c r="F465" s="33">
        <v>452.0</v>
      </c>
      <c r="G465" s="33">
        <v>0.0</v>
      </c>
      <c r="H465" s="33">
        <v>0.0</v>
      </c>
      <c r="I465" s="33">
        <v>299.0</v>
      </c>
      <c r="J465" s="33">
        <v>169.0</v>
      </c>
      <c r="K465" s="33">
        <v>44.0</v>
      </c>
      <c r="L465" s="33" t="s">
        <v>83</v>
      </c>
      <c r="M465" s="33">
        <v>32.0</v>
      </c>
      <c r="N465" s="33">
        <v>70.0</v>
      </c>
      <c r="O465" s="33">
        <v>19.0</v>
      </c>
      <c r="P465" s="33">
        <v>0.0</v>
      </c>
      <c r="Q465" s="33">
        <v>15.0</v>
      </c>
      <c r="R465" s="33">
        <v>0.0</v>
      </c>
      <c r="S465" s="33">
        <v>0.0</v>
      </c>
      <c r="T465" s="35" t="s">
        <v>243</v>
      </c>
      <c r="U465" s="57"/>
      <c r="V465" s="37" t="s">
        <v>76</v>
      </c>
      <c r="W465" s="38">
        <v>0.24305555555555555</v>
      </c>
      <c r="X465" s="39" t="s">
        <v>301</v>
      </c>
      <c r="Y465" s="40"/>
    </row>
    <row r="466">
      <c r="A466" s="77">
        <v>454.0</v>
      </c>
      <c r="B466" s="78" t="s">
        <v>52</v>
      </c>
      <c r="C466" s="79" t="s">
        <v>302</v>
      </c>
      <c r="D466" s="26" t="s">
        <v>32</v>
      </c>
      <c r="E466" s="22">
        <v>3298.0</v>
      </c>
      <c r="F466" s="22">
        <v>155.0</v>
      </c>
      <c r="G466" s="22">
        <v>268.0</v>
      </c>
      <c r="H466" s="22">
        <v>0.0</v>
      </c>
      <c r="I466" s="22">
        <v>282.0</v>
      </c>
      <c r="J466" s="22">
        <v>185.0</v>
      </c>
      <c r="K466" s="22">
        <v>94.0</v>
      </c>
      <c r="L466" s="22" t="s">
        <v>29</v>
      </c>
      <c r="M466" s="22">
        <v>25.0</v>
      </c>
      <c r="N466" s="22">
        <v>183.0</v>
      </c>
      <c r="O466" s="22">
        <v>83.0</v>
      </c>
      <c r="P466" s="22">
        <v>150.0</v>
      </c>
      <c r="Q466" s="22">
        <v>11.0</v>
      </c>
      <c r="R466" s="22">
        <v>0.0</v>
      </c>
      <c r="S466" s="22">
        <v>0.0</v>
      </c>
      <c r="T466" s="24" t="s">
        <v>243</v>
      </c>
      <c r="U466" s="58"/>
      <c r="V466" s="75" t="s">
        <v>76</v>
      </c>
      <c r="W466" s="76">
        <v>0.059722222222222225</v>
      </c>
      <c r="X466" s="28" t="s">
        <v>303</v>
      </c>
      <c r="Y466" s="29"/>
    </row>
    <row r="467" ht="15.75" customHeight="1">
      <c r="A467" s="49">
        <v>455.0</v>
      </c>
      <c r="B467" s="50" t="s">
        <v>66</v>
      </c>
      <c r="C467" s="51" t="s">
        <v>304</v>
      </c>
      <c r="D467" s="37" t="s">
        <v>32</v>
      </c>
      <c r="E467" s="33">
        <v>5136.0</v>
      </c>
      <c r="F467" s="33">
        <v>283.0</v>
      </c>
      <c r="G467" s="33">
        <v>226.0</v>
      </c>
      <c r="H467" s="33">
        <v>0.0</v>
      </c>
      <c r="I467" s="33">
        <v>249.0</v>
      </c>
      <c r="J467" s="33">
        <v>197.0</v>
      </c>
      <c r="K467" s="33">
        <v>69.0</v>
      </c>
      <c r="L467" s="33" t="s">
        <v>71</v>
      </c>
      <c r="M467" s="33">
        <v>24.0</v>
      </c>
      <c r="N467" s="33">
        <v>141.0</v>
      </c>
      <c r="O467" s="33">
        <v>50.0</v>
      </c>
      <c r="P467" s="33">
        <v>0.0</v>
      </c>
      <c r="Q467" s="33">
        <v>12.0</v>
      </c>
      <c r="R467" s="33">
        <v>0.0</v>
      </c>
      <c r="S467" s="33">
        <v>0.0</v>
      </c>
      <c r="T467" s="35" t="s">
        <v>247</v>
      </c>
      <c r="U467" s="57"/>
      <c r="V467" s="37" t="s">
        <v>76</v>
      </c>
      <c r="W467" s="38">
        <v>0.0798611111111111</v>
      </c>
      <c r="X467" s="39" t="s">
        <v>301</v>
      </c>
      <c r="Y467" s="40"/>
    </row>
    <row r="468" ht="15.75" customHeight="1">
      <c r="A468" s="77">
        <v>456.0</v>
      </c>
      <c r="B468" s="78" t="s">
        <v>52</v>
      </c>
      <c r="C468" s="79" t="s">
        <v>305</v>
      </c>
      <c r="D468" s="26" t="s">
        <v>28</v>
      </c>
      <c r="E468" s="22">
        <v>3565.0</v>
      </c>
      <c r="F468" s="22">
        <v>174.0</v>
      </c>
      <c r="G468" s="22">
        <v>283.0</v>
      </c>
      <c r="H468" s="22">
        <v>0.0</v>
      </c>
      <c r="I468" s="22">
        <v>316.0</v>
      </c>
      <c r="J468" s="22">
        <v>178.0</v>
      </c>
      <c r="K468" s="22">
        <v>136.0</v>
      </c>
      <c r="L468" s="22" t="s">
        <v>29</v>
      </c>
      <c r="M468" s="22">
        <v>31.0</v>
      </c>
      <c r="N468" s="22">
        <v>177.0</v>
      </c>
      <c r="O468" s="22">
        <v>35.0</v>
      </c>
      <c r="P468" s="22">
        <v>148.0</v>
      </c>
      <c r="Q468" s="22">
        <v>10.0</v>
      </c>
      <c r="R468" s="22">
        <v>0.0</v>
      </c>
      <c r="S468" s="22">
        <v>0.0</v>
      </c>
      <c r="T468" s="24" t="s">
        <v>247</v>
      </c>
      <c r="U468" s="58"/>
      <c r="V468" s="26" t="s">
        <v>76</v>
      </c>
      <c r="W468" s="65"/>
      <c r="X468" s="28" t="s">
        <v>306</v>
      </c>
      <c r="Y468" s="29"/>
    </row>
    <row r="469" ht="15.75" customHeight="1">
      <c r="A469" s="68">
        <v>457.0</v>
      </c>
      <c r="B469" s="69" t="s">
        <v>27</v>
      </c>
      <c r="C469" s="80" t="s">
        <v>307</v>
      </c>
      <c r="D469" s="37" t="s">
        <v>28</v>
      </c>
      <c r="E469" s="33">
        <v>1914.0</v>
      </c>
      <c r="F469" s="33">
        <v>115.0</v>
      </c>
      <c r="G469" s="33">
        <v>283.0</v>
      </c>
      <c r="H469" s="33">
        <v>0.0</v>
      </c>
      <c r="I469" s="33">
        <v>146.0</v>
      </c>
      <c r="J469" s="33">
        <v>209.0</v>
      </c>
      <c r="K469" s="33">
        <v>272.0</v>
      </c>
      <c r="L469" s="33" t="s">
        <v>29</v>
      </c>
      <c r="M469" s="33">
        <v>43.0</v>
      </c>
      <c r="N469" s="33">
        <v>215.0</v>
      </c>
      <c r="O469" s="33">
        <v>48.0</v>
      </c>
      <c r="P469" s="33">
        <v>210.0</v>
      </c>
      <c r="Q469" s="33">
        <v>9.0</v>
      </c>
      <c r="R469" s="33">
        <v>0.0</v>
      </c>
      <c r="S469" s="33">
        <v>0.0</v>
      </c>
      <c r="T469" s="35" t="s">
        <v>247</v>
      </c>
      <c r="U469" s="71"/>
      <c r="V469" s="35" t="s">
        <v>76</v>
      </c>
      <c r="W469" s="72">
        <v>0.018055555555555554</v>
      </c>
      <c r="X469" s="39" t="s">
        <v>301</v>
      </c>
      <c r="Y469" s="74"/>
    </row>
    <row r="470">
      <c r="A470" s="77">
        <v>458.0</v>
      </c>
      <c r="B470" s="78" t="s">
        <v>95</v>
      </c>
      <c r="C470" s="126" t="s">
        <v>308</v>
      </c>
      <c r="D470" s="26" t="s">
        <v>28</v>
      </c>
      <c r="E470" s="22">
        <v>6407.0</v>
      </c>
      <c r="F470" s="22">
        <v>177.0</v>
      </c>
      <c r="G470" s="22">
        <v>259.0</v>
      </c>
      <c r="H470" s="22">
        <v>381.0</v>
      </c>
      <c r="I470" s="22">
        <v>314.0</v>
      </c>
      <c r="J470" s="22">
        <v>112.0</v>
      </c>
      <c r="K470" s="22">
        <v>37.0</v>
      </c>
      <c r="L470" s="22" t="s">
        <v>71</v>
      </c>
      <c r="M470" s="22">
        <v>21.0</v>
      </c>
      <c r="N470" s="22">
        <v>87.0</v>
      </c>
      <c r="O470" s="22">
        <v>42.0</v>
      </c>
      <c r="P470" s="22">
        <v>0.0</v>
      </c>
      <c r="Q470" s="22">
        <v>12.0</v>
      </c>
      <c r="R470" s="22">
        <v>0.0</v>
      </c>
      <c r="S470" s="22">
        <v>0.0</v>
      </c>
      <c r="T470" s="24" t="s">
        <v>243</v>
      </c>
      <c r="U470" s="58"/>
      <c r="V470" s="26" t="s">
        <v>76</v>
      </c>
      <c r="W470" s="65"/>
      <c r="X470" s="28" t="s">
        <v>309</v>
      </c>
      <c r="Y470" s="29"/>
    </row>
    <row r="471">
      <c r="A471" s="30">
        <v>459.0</v>
      </c>
      <c r="B471" s="31" t="s">
        <v>95</v>
      </c>
      <c r="C471" s="32" t="s">
        <v>310</v>
      </c>
      <c r="D471" s="33" t="s">
        <v>28</v>
      </c>
      <c r="E471" s="33">
        <v>6084.0</v>
      </c>
      <c r="F471" s="33">
        <v>0.0</v>
      </c>
      <c r="G471" s="33">
        <v>0.0</v>
      </c>
      <c r="H471" s="33">
        <v>385.0</v>
      </c>
      <c r="I471" s="33">
        <v>272.0</v>
      </c>
      <c r="J471" s="33">
        <v>112.0</v>
      </c>
      <c r="K471" s="33">
        <v>55.0</v>
      </c>
      <c r="L471" s="33" t="s">
        <v>83</v>
      </c>
      <c r="M471" s="33">
        <v>30.0</v>
      </c>
      <c r="N471" s="33">
        <v>87.0</v>
      </c>
      <c r="O471" s="33">
        <v>44.0</v>
      </c>
      <c r="P471" s="33">
        <v>0.0</v>
      </c>
      <c r="Q471" s="33">
        <v>12.0</v>
      </c>
      <c r="R471" s="33">
        <v>0.0</v>
      </c>
      <c r="S471" s="33">
        <v>0.0</v>
      </c>
      <c r="T471" s="35" t="s">
        <v>104</v>
      </c>
      <c r="U471" s="36"/>
      <c r="V471" s="36" t="s">
        <v>76</v>
      </c>
      <c r="W471" s="36"/>
      <c r="X471" s="39"/>
      <c r="Y471" s="40"/>
    </row>
    <row r="472">
      <c r="A472" s="19">
        <v>460.0</v>
      </c>
      <c r="B472" s="20" t="s">
        <v>27</v>
      </c>
      <c r="C472" s="21" t="s">
        <v>311</v>
      </c>
      <c r="D472" s="22" t="s">
        <v>28</v>
      </c>
      <c r="E472" s="22">
        <v>1698.0</v>
      </c>
      <c r="F472" s="22">
        <v>89.0</v>
      </c>
      <c r="G472" s="22">
        <v>355.0</v>
      </c>
      <c r="H472" s="22">
        <v>0.0</v>
      </c>
      <c r="I472" s="22">
        <v>160.0</v>
      </c>
      <c r="J472" s="22">
        <v>214.0</v>
      </c>
      <c r="K472" s="22">
        <v>271.0</v>
      </c>
      <c r="L472" s="24" t="s">
        <v>29</v>
      </c>
      <c r="M472" s="22">
        <v>43.0</v>
      </c>
      <c r="N472" s="22">
        <v>212.0</v>
      </c>
      <c r="O472" s="22">
        <v>72.0</v>
      </c>
      <c r="P472" s="22">
        <v>196.0</v>
      </c>
      <c r="Q472" s="22">
        <v>9.0</v>
      </c>
      <c r="R472" s="22">
        <v>0.0</v>
      </c>
      <c r="S472" s="22">
        <v>0.0</v>
      </c>
      <c r="T472" s="24" t="s">
        <v>104</v>
      </c>
      <c r="U472" s="25"/>
      <c r="V472" s="25" t="s">
        <v>76</v>
      </c>
      <c r="W472" s="25" t="s">
        <v>312</v>
      </c>
      <c r="X472" s="28" t="s">
        <v>313</v>
      </c>
      <c r="Y472" s="29"/>
    </row>
    <row r="473">
      <c r="A473" s="68">
        <v>461.0</v>
      </c>
      <c r="B473" s="69" t="s">
        <v>82</v>
      </c>
      <c r="C473" s="80" t="s">
        <v>314</v>
      </c>
      <c r="D473" s="35" t="s">
        <v>32</v>
      </c>
      <c r="E473" s="35">
        <v>8155.0</v>
      </c>
      <c r="F473" s="35">
        <v>424.0</v>
      </c>
      <c r="G473" s="35">
        <v>0.0</v>
      </c>
      <c r="H473" s="35">
        <v>0.0</v>
      </c>
      <c r="I473" s="35">
        <v>264.0</v>
      </c>
      <c r="J473" s="35">
        <v>161.0</v>
      </c>
      <c r="K473" s="35">
        <v>36.0</v>
      </c>
      <c r="L473" s="35" t="s">
        <v>83</v>
      </c>
      <c r="M473" s="35">
        <v>28.0</v>
      </c>
      <c r="N473" s="35">
        <v>72.0</v>
      </c>
      <c r="O473" s="35">
        <v>83.0</v>
      </c>
      <c r="P473" s="35">
        <v>0.0</v>
      </c>
      <c r="Q473" s="35">
        <v>15.0</v>
      </c>
      <c r="R473" s="35">
        <v>0.0</v>
      </c>
      <c r="S473" s="35">
        <v>0.0</v>
      </c>
      <c r="T473" s="35" t="s">
        <v>104</v>
      </c>
      <c r="U473" s="71"/>
      <c r="V473" s="35" t="s">
        <v>76</v>
      </c>
      <c r="W473" s="72">
        <v>0.2013888888888889</v>
      </c>
      <c r="X473" s="73" t="s">
        <v>133</v>
      </c>
      <c r="Y473" s="74"/>
    </row>
    <row r="474">
      <c r="A474" s="41">
        <v>462.0</v>
      </c>
      <c r="B474" s="42" t="s">
        <v>91</v>
      </c>
      <c r="C474" s="43" t="s">
        <v>315</v>
      </c>
      <c r="D474" s="24" t="s">
        <v>32</v>
      </c>
      <c r="E474" s="24">
        <v>5673.0</v>
      </c>
      <c r="F474" s="24">
        <v>0.0</v>
      </c>
      <c r="G474" s="24">
        <v>0.0</v>
      </c>
      <c r="H474" s="24">
        <v>331.0</v>
      </c>
      <c r="I474" s="24">
        <v>270.0</v>
      </c>
      <c r="J474" s="24">
        <v>171.0</v>
      </c>
      <c r="K474" s="24">
        <v>73.0</v>
      </c>
      <c r="L474" s="24" t="s">
        <v>71</v>
      </c>
      <c r="M474" s="24">
        <v>25.0</v>
      </c>
      <c r="N474" s="24">
        <v>89.0</v>
      </c>
      <c r="O474" s="24">
        <v>82.0</v>
      </c>
      <c r="P474" s="24">
        <v>146.0</v>
      </c>
      <c r="Q474" s="24">
        <v>12.0</v>
      </c>
      <c r="R474" s="24">
        <v>0.0</v>
      </c>
      <c r="S474" s="24">
        <v>0.0</v>
      </c>
      <c r="T474" s="24" t="s">
        <v>104</v>
      </c>
      <c r="U474" s="45"/>
      <c r="V474" s="24" t="s">
        <v>76</v>
      </c>
      <c r="W474" s="66">
        <v>0.10416666666666667</v>
      </c>
      <c r="X474" s="67" t="s">
        <v>133</v>
      </c>
      <c r="Y474" s="48"/>
    </row>
    <row r="475">
      <c r="A475" s="68">
        <v>463.0</v>
      </c>
      <c r="B475" s="69" t="s">
        <v>52</v>
      </c>
      <c r="C475" s="80" t="s">
        <v>316</v>
      </c>
      <c r="D475" s="35" t="s">
        <v>32</v>
      </c>
      <c r="E475" s="35">
        <v>3831.0</v>
      </c>
      <c r="F475" s="35">
        <v>161.0</v>
      </c>
      <c r="G475" s="35">
        <v>175.0</v>
      </c>
      <c r="H475" s="35">
        <v>0.0</v>
      </c>
      <c r="I475" s="35">
        <v>389.0</v>
      </c>
      <c r="J475" s="35">
        <v>196.0</v>
      </c>
      <c r="K475" s="35">
        <v>113.0</v>
      </c>
      <c r="L475" s="35" t="s">
        <v>29</v>
      </c>
      <c r="M475" s="35">
        <v>32.0</v>
      </c>
      <c r="N475" s="35">
        <v>164.0</v>
      </c>
      <c r="O475" s="35">
        <v>58.0</v>
      </c>
      <c r="P475" s="35">
        <v>190.0</v>
      </c>
      <c r="Q475" s="35">
        <v>11.0</v>
      </c>
      <c r="R475" s="35">
        <v>0.0</v>
      </c>
      <c r="S475" s="35">
        <v>0.0</v>
      </c>
      <c r="T475" s="35" t="s">
        <v>104</v>
      </c>
      <c r="U475" s="71"/>
      <c r="V475" s="35" t="s">
        <v>76</v>
      </c>
      <c r="W475" s="72">
        <v>0.03819444444444445</v>
      </c>
      <c r="X475" s="73" t="s">
        <v>317</v>
      </c>
      <c r="Y475" s="74"/>
    </row>
    <row r="476">
      <c r="A476" s="41">
        <v>464.0</v>
      </c>
      <c r="B476" s="42" t="s">
        <v>82</v>
      </c>
      <c r="C476" s="43" t="s">
        <v>318</v>
      </c>
      <c r="D476" s="24" t="s">
        <v>28</v>
      </c>
      <c r="E476" s="24">
        <v>7643.0</v>
      </c>
      <c r="F476" s="24">
        <v>412.0</v>
      </c>
      <c r="G476" s="24">
        <v>0.0</v>
      </c>
      <c r="H476" s="24">
        <v>0.0</v>
      </c>
      <c r="I476" s="24">
        <v>217.0</v>
      </c>
      <c r="J476" s="24">
        <v>152.0</v>
      </c>
      <c r="K476" s="24">
        <v>32.0</v>
      </c>
      <c r="L476" s="24" t="s">
        <v>83</v>
      </c>
      <c r="M476" s="24">
        <v>24.0</v>
      </c>
      <c r="N476" s="24">
        <v>72.0</v>
      </c>
      <c r="O476" s="24">
        <v>72.0</v>
      </c>
      <c r="P476" s="24">
        <v>0.0</v>
      </c>
      <c r="Q476" s="24">
        <v>14.0</v>
      </c>
      <c r="R476" s="24">
        <v>0.0</v>
      </c>
      <c r="S476" s="24">
        <v>0.0</v>
      </c>
      <c r="T476" s="24" t="s">
        <v>104</v>
      </c>
      <c r="U476" s="45"/>
      <c r="V476" s="24" t="s">
        <v>76</v>
      </c>
      <c r="W476" s="66">
        <v>0.1736111111111111</v>
      </c>
      <c r="X476" s="67" t="s">
        <v>133</v>
      </c>
      <c r="Y476" s="48"/>
    </row>
    <row r="477">
      <c r="A477" s="68">
        <v>465.0</v>
      </c>
      <c r="B477" s="69" t="s">
        <v>27</v>
      </c>
      <c r="C477" s="80" t="s">
        <v>319</v>
      </c>
      <c r="D477" s="35" t="s">
        <v>28</v>
      </c>
      <c r="E477" s="35">
        <v>1710.0</v>
      </c>
      <c r="F477" s="35">
        <v>80.0</v>
      </c>
      <c r="G477" s="35">
        <v>381.0</v>
      </c>
      <c r="H477" s="35">
        <v>0.0</v>
      </c>
      <c r="I477" s="35">
        <v>160.0</v>
      </c>
      <c r="J477" s="35">
        <v>210.0</v>
      </c>
      <c r="K477" s="35">
        <v>270.0</v>
      </c>
      <c r="L477" s="35" t="s">
        <v>29</v>
      </c>
      <c r="M477" s="35">
        <v>42.0</v>
      </c>
      <c r="N477" s="35">
        <v>218.0</v>
      </c>
      <c r="O477" s="35">
        <v>70.0</v>
      </c>
      <c r="P477" s="35">
        <v>217.0</v>
      </c>
      <c r="Q477" s="35">
        <v>9.0</v>
      </c>
      <c r="R477" s="35">
        <v>0.0</v>
      </c>
      <c r="S477" s="35">
        <v>0.0</v>
      </c>
      <c r="T477" s="35" t="s">
        <v>104</v>
      </c>
      <c r="U477" s="71"/>
      <c r="V477" s="35" t="s">
        <v>76</v>
      </c>
      <c r="W477" s="97"/>
      <c r="X477" s="73" t="s">
        <v>320</v>
      </c>
      <c r="Y477" s="74"/>
    </row>
    <row r="478">
      <c r="A478" s="41">
        <v>466.0</v>
      </c>
      <c r="B478" s="42" t="s">
        <v>27</v>
      </c>
      <c r="C478" s="43" t="s">
        <v>321</v>
      </c>
      <c r="D478" s="24" t="s">
        <v>28</v>
      </c>
      <c r="E478" s="24">
        <v>2167.0</v>
      </c>
      <c r="F478" s="24">
        <v>122.0</v>
      </c>
      <c r="G478" s="24">
        <v>331.0</v>
      </c>
      <c r="H478" s="24">
        <v>0.0</v>
      </c>
      <c r="I478" s="24">
        <v>157.0</v>
      </c>
      <c r="J478" s="24">
        <v>193.0</v>
      </c>
      <c r="K478" s="24">
        <v>201.0</v>
      </c>
      <c r="L478" s="24" t="s">
        <v>29</v>
      </c>
      <c r="M478" s="24">
        <v>43.0</v>
      </c>
      <c r="N478" s="24">
        <v>190.0</v>
      </c>
      <c r="O478" s="24">
        <v>43.0</v>
      </c>
      <c r="P478" s="24">
        <v>204.0</v>
      </c>
      <c r="Q478" s="24">
        <v>9.0</v>
      </c>
      <c r="R478" s="24">
        <v>0.0</v>
      </c>
      <c r="S478" s="24">
        <v>0.0</v>
      </c>
      <c r="T478" s="24" t="s">
        <v>193</v>
      </c>
      <c r="U478" s="45"/>
      <c r="V478" s="24" t="s">
        <v>76</v>
      </c>
      <c r="W478" s="46"/>
      <c r="X478" s="28" t="s">
        <v>204</v>
      </c>
      <c r="Y478" s="48"/>
    </row>
    <row r="479">
      <c r="A479" s="68">
        <v>467.0</v>
      </c>
      <c r="B479" s="69" t="s">
        <v>242</v>
      </c>
      <c r="C479" s="80" t="s">
        <v>322</v>
      </c>
      <c r="D479" s="35" t="s">
        <v>32</v>
      </c>
      <c r="E479" s="35">
        <v>1338.0</v>
      </c>
      <c r="F479" s="35">
        <v>53.0</v>
      </c>
      <c r="G479" s="35">
        <v>543.0</v>
      </c>
      <c r="H479" s="35">
        <v>0.0</v>
      </c>
      <c r="I479" s="35">
        <v>0.0</v>
      </c>
      <c r="J479" s="35">
        <v>110.0</v>
      </c>
      <c r="K479" s="35">
        <v>38.0</v>
      </c>
      <c r="L479" s="35" t="s">
        <v>29</v>
      </c>
      <c r="M479" s="35">
        <v>14.0</v>
      </c>
      <c r="N479" s="35">
        <v>188.0</v>
      </c>
      <c r="O479" s="35">
        <v>62.0</v>
      </c>
      <c r="P479" s="35">
        <v>0.0</v>
      </c>
      <c r="Q479" s="35">
        <v>7.0</v>
      </c>
      <c r="R479" s="35">
        <v>188.0</v>
      </c>
      <c r="S479" s="35">
        <v>2.0</v>
      </c>
      <c r="T479" s="35" t="s">
        <v>193</v>
      </c>
      <c r="U479" s="71"/>
      <c r="V479" s="35" t="s">
        <v>76</v>
      </c>
      <c r="W479" s="97"/>
      <c r="X479" s="39" t="s">
        <v>204</v>
      </c>
      <c r="Y479" s="74"/>
    </row>
    <row r="480">
      <c r="A480" s="41">
        <v>468.0</v>
      </c>
      <c r="B480" s="42" t="s">
        <v>27</v>
      </c>
      <c r="C480" s="43" t="s">
        <v>323</v>
      </c>
      <c r="D480" s="24" t="s">
        <v>32</v>
      </c>
      <c r="E480" s="24">
        <v>2600.0</v>
      </c>
      <c r="F480" s="24">
        <v>82.0</v>
      </c>
      <c r="G480" s="24">
        <v>389.0</v>
      </c>
      <c r="H480" s="24">
        <v>0.0</v>
      </c>
      <c r="I480" s="24">
        <v>209.0</v>
      </c>
      <c r="J480" s="24">
        <v>221.0</v>
      </c>
      <c r="K480" s="24">
        <v>232.0</v>
      </c>
      <c r="L480" s="24" t="s">
        <v>29</v>
      </c>
      <c r="M480" s="24">
        <v>39.0</v>
      </c>
      <c r="N480" s="24">
        <v>203.0</v>
      </c>
      <c r="O480" s="24">
        <v>72.0</v>
      </c>
      <c r="P480" s="24">
        <v>210.0</v>
      </c>
      <c r="Q480" s="24">
        <v>10.0</v>
      </c>
      <c r="R480" s="24">
        <v>0.0</v>
      </c>
      <c r="S480" s="24">
        <v>0.0</v>
      </c>
      <c r="T480" s="24" t="s">
        <v>143</v>
      </c>
      <c r="U480" s="45"/>
      <c r="V480" s="24" t="s">
        <v>76</v>
      </c>
      <c r="W480" s="66">
        <v>0.02013888888888889</v>
      </c>
      <c r="X480" s="47"/>
      <c r="Y480" s="48"/>
    </row>
    <row r="481" ht="15.75" customHeight="1">
      <c r="A481" s="68">
        <v>469.0</v>
      </c>
      <c r="B481" s="69" t="s">
        <v>66</v>
      </c>
      <c r="C481" s="80" t="s">
        <v>324</v>
      </c>
      <c r="D481" s="35" t="s">
        <v>28</v>
      </c>
      <c r="E481" s="35">
        <v>4236.0</v>
      </c>
      <c r="F481" s="35">
        <v>240.0</v>
      </c>
      <c r="G481" s="35">
        <v>215.0</v>
      </c>
      <c r="H481" s="35">
        <v>0.0</v>
      </c>
      <c r="I481" s="35">
        <v>219.0</v>
      </c>
      <c r="J481" s="35">
        <v>188.0</v>
      </c>
      <c r="K481" s="35">
        <v>85.0</v>
      </c>
      <c r="L481" s="35" t="s">
        <v>71</v>
      </c>
      <c r="M481" s="35">
        <v>27.0</v>
      </c>
      <c r="N481" s="35">
        <v>132.0</v>
      </c>
      <c r="O481" s="35">
        <v>10.0</v>
      </c>
      <c r="P481" s="35">
        <v>0.0</v>
      </c>
      <c r="Q481" s="35">
        <v>11.0</v>
      </c>
      <c r="R481" s="35">
        <v>0.0</v>
      </c>
      <c r="S481" s="35">
        <v>0.0</v>
      </c>
      <c r="T481" s="35" t="s">
        <v>143</v>
      </c>
      <c r="U481" s="71"/>
      <c r="V481" s="35" t="s">
        <v>76</v>
      </c>
      <c r="W481" s="97"/>
      <c r="X481" s="95"/>
      <c r="Y481" s="74"/>
    </row>
    <row r="482">
      <c r="A482" s="41">
        <v>470.0</v>
      </c>
      <c r="B482" s="42" t="s">
        <v>91</v>
      </c>
      <c r="C482" s="43" t="s">
        <v>325</v>
      </c>
      <c r="D482" s="24" t="s">
        <v>28</v>
      </c>
      <c r="E482" s="24">
        <v>4503.0</v>
      </c>
      <c r="F482" s="24">
        <v>0.0</v>
      </c>
      <c r="G482" s="24">
        <v>0.0</v>
      </c>
      <c r="H482" s="24">
        <v>352.0</v>
      </c>
      <c r="I482" s="24">
        <v>267.0</v>
      </c>
      <c r="J482" s="24">
        <v>188.0</v>
      </c>
      <c r="K482" s="24">
        <v>74.0</v>
      </c>
      <c r="L482" s="24" t="s">
        <v>71</v>
      </c>
      <c r="M482" s="24">
        <v>29.0</v>
      </c>
      <c r="N482" s="24">
        <v>83.0</v>
      </c>
      <c r="O482" s="24">
        <v>57.0</v>
      </c>
      <c r="P482" s="24">
        <v>92.0</v>
      </c>
      <c r="Q482" s="24">
        <v>11.0</v>
      </c>
      <c r="R482" s="24">
        <v>0.0</v>
      </c>
      <c r="S482" s="24">
        <v>0.0</v>
      </c>
      <c r="T482" s="24" t="s">
        <v>143</v>
      </c>
      <c r="U482" s="45"/>
      <c r="V482" s="103" t="s">
        <v>76</v>
      </c>
      <c r="W482" s="104">
        <v>0.09375</v>
      </c>
      <c r="X482" s="47"/>
      <c r="Y482" s="48"/>
    </row>
    <row r="483">
      <c r="A483" s="68">
        <v>471.0</v>
      </c>
      <c r="B483" s="69" t="s">
        <v>91</v>
      </c>
      <c r="C483" s="80" t="s">
        <v>326</v>
      </c>
      <c r="D483" s="35" t="s">
        <v>28</v>
      </c>
      <c r="E483" s="35">
        <v>4963.0</v>
      </c>
      <c r="F483" s="35">
        <v>0.0</v>
      </c>
      <c r="G483" s="35">
        <v>0.0</v>
      </c>
      <c r="H483" s="35">
        <v>352.0</v>
      </c>
      <c r="I483" s="35">
        <v>267.0</v>
      </c>
      <c r="J483" s="35">
        <v>182.0</v>
      </c>
      <c r="K483" s="35">
        <v>74.0</v>
      </c>
      <c r="L483" s="35" t="s">
        <v>71</v>
      </c>
      <c r="M483" s="35">
        <v>29.0</v>
      </c>
      <c r="N483" s="35">
        <v>83.0</v>
      </c>
      <c r="O483" s="35">
        <v>57.0</v>
      </c>
      <c r="P483" s="35">
        <v>92.0</v>
      </c>
      <c r="Q483" s="35">
        <v>11.0</v>
      </c>
      <c r="R483" s="35">
        <v>0.0</v>
      </c>
      <c r="S483" s="35">
        <v>0.0</v>
      </c>
      <c r="T483" s="35" t="s">
        <v>143</v>
      </c>
      <c r="U483" s="71"/>
      <c r="V483" s="35" t="s">
        <v>76</v>
      </c>
      <c r="W483" s="72">
        <v>0.09375</v>
      </c>
      <c r="X483" s="95"/>
      <c r="Y483" s="74"/>
    </row>
    <row r="484">
      <c r="A484" s="41">
        <v>472.0</v>
      </c>
      <c r="B484" s="42" t="s">
        <v>327</v>
      </c>
      <c r="C484" s="43" t="s">
        <v>328</v>
      </c>
      <c r="D484" s="24" t="s">
        <v>28</v>
      </c>
      <c r="E484" s="24">
        <v>5099.0</v>
      </c>
      <c r="F484" s="24">
        <v>74.0</v>
      </c>
      <c r="G484" s="24">
        <v>0.0</v>
      </c>
      <c r="H484" s="24">
        <v>0.0</v>
      </c>
      <c r="I484" s="24">
        <v>137.0</v>
      </c>
      <c r="J484" s="24">
        <v>207.0</v>
      </c>
      <c r="K484" s="24">
        <v>53.0</v>
      </c>
      <c r="L484" s="24" t="s">
        <v>29</v>
      </c>
      <c r="M484" s="24">
        <v>14.0</v>
      </c>
      <c r="N484" s="24">
        <v>220.0</v>
      </c>
      <c r="O484" s="24">
        <v>58.0</v>
      </c>
      <c r="P484" s="24">
        <v>0.0</v>
      </c>
      <c r="Q484" s="24">
        <v>10.0</v>
      </c>
      <c r="R484" s="24">
        <v>0.0</v>
      </c>
      <c r="S484" s="24">
        <v>0.0</v>
      </c>
      <c r="T484" s="24" t="s">
        <v>143</v>
      </c>
      <c r="U484" s="45"/>
      <c r="V484" s="24" t="s">
        <v>76</v>
      </c>
      <c r="W484" s="66">
        <v>0.0625</v>
      </c>
      <c r="X484" s="47"/>
      <c r="Y484" s="48"/>
    </row>
    <row r="485">
      <c r="A485" s="68">
        <v>473.0</v>
      </c>
      <c r="B485" s="69" t="s">
        <v>91</v>
      </c>
      <c r="C485" s="80" t="s">
        <v>329</v>
      </c>
      <c r="D485" s="35" t="s">
        <v>28</v>
      </c>
      <c r="E485" s="35">
        <v>4904.0</v>
      </c>
      <c r="F485" s="35">
        <v>0.0</v>
      </c>
      <c r="G485" s="35">
        <v>0.0</v>
      </c>
      <c r="H485" s="35">
        <v>344.0</v>
      </c>
      <c r="I485" s="35">
        <v>261.0</v>
      </c>
      <c r="J485" s="35">
        <v>183.0</v>
      </c>
      <c r="K485" s="35">
        <v>88.0</v>
      </c>
      <c r="L485" s="35" t="s">
        <v>71</v>
      </c>
      <c r="M485" s="35">
        <v>31.0</v>
      </c>
      <c r="N485" s="35">
        <v>91.0</v>
      </c>
      <c r="O485" s="35">
        <v>49.0</v>
      </c>
      <c r="P485" s="35">
        <v>100.0</v>
      </c>
      <c r="Q485" s="35">
        <v>11.0</v>
      </c>
      <c r="R485" s="35">
        <v>0.0</v>
      </c>
      <c r="S485" s="35">
        <v>0.0</v>
      </c>
      <c r="T485" s="35" t="s">
        <v>37</v>
      </c>
      <c r="U485" s="71"/>
      <c r="V485" s="35" t="s">
        <v>76</v>
      </c>
      <c r="W485" s="72">
        <v>0.08796296296296297</v>
      </c>
      <c r="X485" s="73" t="s">
        <v>330</v>
      </c>
      <c r="Y485" s="74"/>
    </row>
    <row r="486">
      <c r="A486" s="41">
        <v>474.0</v>
      </c>
      <c r="B486" s="42" t="s">
        <v>95</v>
      </c>
      <c r="C486" s="43" t="s">
        <v>331</v>
      </c>
      <c r="D486" s="24" t="s">
        <v>32</v>
      </c>
      <c r="E486" s="24">
        <v>7361.0</v>
      </c>
      <c r="F486" s="24">
        <v>0.0</v>
      </c>
      <c r="G486" s="24">
        <v>0.0</v>
      </c>
      <c r="H486" s="24">
        <v>405.0</v>
      </c>
      <c r="I486" s="24">
        <v>316.0</v>
      </c>
      <c r="J486" s="24">
        <v>121.0</v>
      </c>
      <c r="K486" s="24">
        <v>56.0</v>
      </c>
      <c r="L486" s="24" t="s">
        <v>83</v>
      </c>
      <c r="M486" s="24">
        <v>33.0</v>
      </c>
      <c r="N486" s="24">
        <v>78.0</v>
      </c>
      <c r="O486" s="24">
        <v>36.0</v>
      </c>
      <c r="P486" s="24">
        <v>0.0</v>
      </c>
      <c r="Q486" s="24">
        <v>13.0</v>
      </c>
      <c r="R486" s="24">
        <v>0.0</v>
      </c>
      <c r="S486" s="24">
        <v>0.0</v>
      </c>
      <c r="T486" s="24" t="s">
        <v>143</v>
      </c>
      <c r="U486" s="45"/>
      <c r="V486" s="24" t="s">
        <v>76</v>
      </c>
      <c r="W486" s="66">
        <v>0.19791666666666666</v>
      </c>
      <c r="X486" s="67" t="s">
        <v>332</v>
      </c>
      <c r="Y486" s="48"/>
    </row>
    <row r="487">
      <c r="A487" s="68">
        <v>475.0</v>
      </c>
      <c r="B487" s="69" t="s">
        <v>27</v>
      </c>
      <c r="C487" s="80" t="s">
        <v>333</v>
      </c>
      <c r="D487" s="35" t="s">
        <v>32</v>
      </c>
      <c r="E487" s="35">
        <v>2713.0</v>
      </c>
      <c r="F487" s="35">
        <v>150.0</v>
      </c>
      <c r="G487" s="35">
        <v>314.0</v>
      </c>
      <c r="H487" s="35">
        <v>0.0</v>
      </c>
      <c r="I487" s="35">
        <v>157.0</v>
      </c>
      <c r="J487" s="35">
        <v>215.0</v>
      </c>
      <c r="K487" s="35">
        <v>231.0</v>
      </c>
      <c r="L487" s="35" t="s">
        <v>29</v>
      </c>
      <c r="M487" s="35">
        <v>51.0</v>
      </c>
      <c r="N487" s="35">
        <v>210.0</v>
      </c>
      <c r="O487" s="35">
        <v>86.0</v>
      </c>
      <c r="P487" s="35">
        <v>211.0</v>
      </c>
      <c r="Q487" s="35">
        <v>10.0</v>
      </c>
      <c r="R487" s="35">
        <v>0.0</v>
      </c>
      <c r="S487" s="35">
        <v>0.0</v>
      </c>
      <c r="T487" s="35" t="s">
        <v>212</v>
      </c>
      <c r="U487" s="71"/>
      <c r="V487" s="35" t="s">
        <v>76</v>
      </c>
      <c r="W487" s="72">
        <v>0.029166666666666667</v>
      </c>
      <c r="X487" s="73" t="s">
        <v>332</v>
      </c>
      <c r="Y487" s="74"/>
    </row>
    <row r="488">
      <c r="A488" s="41">
        <v>476.0</v>
      </c>
      <c r="B488" s="42" t="s">
        <v>52</v>
      </c>
      <c r="C488" s="43" t="s">
        <v>334</v>
      </c>
      <c r="D488" s="24" t="s">
        <v>32</v>
      </c>
      <c r="E488" s="24">
        <v>4012.0</v>
      </c>
      <c r="F488" s="24">
        <v>150.0</v>
      </c>
      <c r="G488" s="24">
        <v>180.0</v>
      </c>
      <c r="H488" s="24">
        <v>0.0</v>
      </c>
      <c r="I488" s="24">
        <v>433.0</v>
      </c>
      <c r="J488" s="24">
        <v>196.0</v>
      </c>
      <c r="K488" s="24">
        <v>114.0</v>
      </c>
      <c r="L488" s="24" t="s">
        <v>29</v>
      </c>
      <c r="M488" s="24">
        <v>32.0</v>
      </c>
      <c r="N488" s="24">
        <v>170.0</v>
      </c>
      <c r="O488" s="24">
        <v>85.0</v>
      </c>
      <c r="P488" s="24">
        <v>171.0</v>
      </c>
      <c r="Q488" s="24">
        <v>11.0</v>
      </c>
      <c r="R488" s="24">
        <v>0.0</v>
      </c>
      <c r="S488" s="24">
        <v>0.0</v>
      </c>
      <c r="T488" s="24" t="s">
        <v>104</v>
      </c>
      <c r="U488" s="45"/>
      <c r="V488" s="103" t="s">
        <v>76</v>
      </c>
      <c r="W488" s="104">
        <v>0.03819444444444445</v>
      </c>
      <c r="X488" s="67" t="s">
        <v>332</v>
      </c>
      <c r="Y488" s="48"/>
    </row>
    <row r="489">
      <c r="A489" s="68">
        <v>477.0</v>
      </c>
      <c r="B489" s="69" t="s">
        <v>242</v>
      </c>
      <c r="C489" s="80" t="s">
        <v>335</v>
      </c>
      <c r="D489" s="35" t="s">
        <v>28</v>
      </c>
      <c r="E489" s="35">
        <v>1888.0</v>
      </c>
      <c r="F489" s="35">
        <v>60.0</v>
      </c>
      <c r="G489" s="35">
        <v>514.0</v>
      </c>
      <c r="H489" s="35">
        <v>0.0</v>
      </c>
      <c r="I489" s="35">
        <v>0.0</v>
      </c>
      <c r="J489" s="35">
        <v>93.0</v>
      </c>
      <c r="K489" s="35">
        <v>43.0</v>
      </c>
      <c r="L489" s="35" t="s">
        <v>29</v>
      </c>
      <c r="M489" s="35">
        <v>16.0</v>
      </c>
      <c r="N489" s="35">
        <v>198.0</v>
      </c>
      <c r="O489" s="35">
        <v>79.0</v>
      </c>
      <c r="P489" s="35">
        <v>0.0</v>
      </c>
      <c r="Q489" s="35">
        <v>6.0</v>
      </c>
      <c r="R489" s="35">
        <v>243.0</v>
      </c>
      <c r="S489" s="35">
        <v>2.0</v>
      </c>
      <c r="T489" s="35" t="s">
        <v>37</v>
      </c>
      <c r="U489" s="71"/>
      <c r="V489" s="35" t="s">
        <v>76</v>
      </c>
      <c r="W489" s="72">
        <v>0.016666666666666666</v>
      </c>
      <c r="X489" s="73" t="s">
        <v>332</v>
      </c>
      <c r="Y489" s="74"/>
    </row>
    <row r="490">
      <c r="A490" s="41">
        <v>478.0</v>
      </c>
      <c r="B490" s="42" t="s">
        <v>66</v>
      </c>
      <c r="C490" s="43" t="s">
        <v>336</v>
      </c>
      <c r="D490" s="24" t="s">
        <v>28</v>
      </c>
      <c r="E490" s="24">
        <v>4753.0</v>
      </c>
      <c r="F490" s="24">
        <v>265.0</v>
      </c>
      <c r="G490" s="24">
        <v>0.0</v>
      </c>
      <c r="H490" s="24">
        <v>0.0</v>
      </c>
      <c r="I490" s="24">
        <v>257.0</v>
      </c>
      <c r="J490" s="24">
        <v>180.0</v>
      </c>
      <c r="K490" s="24">
        <v>59.0</v>
      </c>
      <c r="L490" s="24" t="s">
        <v>71</v>
      </c>
      <c r="M490" s="24">
        <v>26.0</v>
      </c>
      <c r="N490" s="24">
        <v>139.0</v>
      </c>
      <c r="O490" s="24">
        <v>56.0</v>
      </c>
      <c r="P490" s="24">
        <v>0.0</v>
      </c>
      <c r="Q490" s="24">
        <v>11.0</v>
      </c>
      <c r="R490" s="24">
        <v>0.0</v>
      </c>
      <c r="S490" s="24">
        <v>0.0</v>
      </c>
      <c r="T490" s="24" t="s">
        <v>37</v>
      </c>
      <c r="U490" s="45"/>
      <c r="V490" s="103" t="s">
        <v>76</v>
      </c>
      <c r="W490" s="104">
        <v>0.08333333333333333</v>
      </c>
      <c r="X490" s="67" t="s">
        <v>332</v>
      </c>
      <c r="Y490" s="48"/>
    </row>
    <row r="491">
      <c r="A491" s="68">
        <v>479.0</v>
      </c>
      <c r="B491" s="69" t="s">
        <v>66</v>
      </c>
      <c r="C491" s="80" t="s">
        <v>337</v>
      </c>
      <c r="D491" s="35" t="s">
        <v>32</v>
      </c>
      <c r="E491" s="35">
        <v>6195.0</v>
      </c>
      <c r="F491" s="35">
        <v>287.0</v>
      </c>
      <c r="G491" s="35">
        <v>218.0</v>
      </c>
      <c r="H491" s="35">
        <v>0.0</v>
      </c>
      <c r="I491" s="35">
        <v>238.0</v>
      </c>
      <c r="J491" s="35">
        <v>174.0</v>
      </c>
      <c r="K491" s="35">
        <v>81.0</v>
      </c>
      <c r="L491" s="35" t="s">
        <v>71</v>
      </c>
      <c r="M491" s="35">
        <v>26.0</v>
      </c>
      <c r="N491" s="35">
        <v>129.0</v>
      </c>
      <c r="O491" s="35">
        <v>0.0</v>
      </c>
      <c r="P491" s="35">
        <v>0.0</v>
      </c>
      <c r="Q491" s="35">
        <v>12.0</v>
      </c>
      <c r="R491" s="35">
        <v>0.0</v>
      </c>
      <c r="S491" s="35">
        <v>0.0</v>
      </c>
      <c r="T491" s="35" t="s">
        <v>193</v>
      </c>
      <c r="U491" s="71"/>
      <c r="V491" s="35" t="s">
        <v>76</v>
      </c>
      <c r="W491" s="97"/>
      <c r="X491" s="73" t="s">
        <v>338</v>
      </c>
      <c r="Y491" s="74"/>
    </row>
    <row r="492">
      <c r="A492" s="41">
        <v>480.0</v>
      </c>
      <c r="B492" s="42" t="s">
        <v>95</v>
      </c>
      <c r="C492" s="43" t="s">
        <v>339</v>
      </c>
      <c r="D492" s="24" t="s">
        <v>32</v>
      </c>
      <c r="E492" s="24">
        <v>6664.0</v>
      </c>
      <c r="F492" s="24">
        <v>0.0</v>
      </c>
      <c r="G492" s="24">
        <v>0.0</v>
      </c>
      <c r="H492" s="24">
        <v>412.0</v>
      </c>
      <c r="I492" s="24">
        <v>300.0</v>
      </c>
      <c r="J492" s="24">
        <v>119.0</v>
      </c>
      <c r="K492" s="24">
        <v>55.0</v>
      </c>
      <c r="L492" s="24" t="s">
        <v>83</v>
      </c>
      <c r="M492" s="24">
        <v>30.0</v>
      </c>
      <c r="N492" s="24">
        <v>93.0</v>
      </c>
      <c r="O492" s="24">
        <v>44.0</v>
      </c>
      <c r="P492" s="24">
        <v>0.0</v>
      </c>
      <c r="Q492" s="24">
        <v>13.0</v>
      </c>
      <c r="R492" s="24">
        <v>0.0</v>
      </c>
      <c r="S492" s="24">
        <v>0.0</v>
      </c>
      <c r="T492" s="24" t="s">
        <v>104</v>
      </c>
      <c r="U492" s="45"/>
      <c r="V492" s="24" t="s">
        <v>76</v>
      </c>
      <c r="W492" s="46"/>
      <c r="X492" s="67" t="s">
        <v>338</v>
      </c>
      <c r="Y492" s="48"/>
    </row>
    <row r="493">
      <c r="A493" s="68">
        <v>481.0</v>
      </c>
      <c r="B493" s="69" t="s">
        <v>27</v>
      </c>
      <c r="C493" s="80" t="s">
        <v>340</v>
      </c>
      <c r="D493" s="35" t="s">
        <v>32</v>
      </c>
      <c r="E493" s="35">
        <v>2071.0</v>
      </c>
      <c r="F493" s="35">
        <v>141.0</v>
      </c>
      <c r="G493" s="35">
        <v>278.0</v>
      </c>
      <c r="H493" s="35">
        <v>0.0</v>
      </c>
      <c r="I493" s="35">
        <v>138.0</v>
      </c>
      <c r="J493" s="35">
        <v>209.0</v>
      </c>
      <c r="K493" s="35">
        <v>274.0</v>
      </c>
      <c r="L493" s="35" t="s">
        <v>29</v>
      </c>
      <c r="M493" s="35">
        <v>54.0</v>
      </c>
      <c r="N493" s="35">
        <v>206.0</v>
      </c>
      <c r="O493" s="35">
        <v>51.0</v>
      </c>
      <c r="P493" s="35">
        <v>195.0</v>
      </c>
      <c r="Q493" s="35">
        <v>10.0</v>
      </c>
      <c r="R493" s="35">
        <v>0.0</v>
      </c>
      <c r="S493" s="35">
        <v>0.0</v>
      </c>
      <c r="T493" s="35" t="s">
        <v>247</v>
      </c>
      <c r="U493" s="71"/>
      <c r="V493" s="35" t="s">
        <v>76</v>
      </c>
      <c r="W493" s="97"/>
      <c r="X493" s="73" t="s">
        <v>341</v>
      </c>
      <c r="Y493" s="74"/>
    </row>
    <row r="494">
      <c r="A494" s="41">
        <v>482.0</v>
      </c>
      <c r="B494" s="42" t="s">
        <v>95</v>
      </c>
      <c r="C494" s="43" t="s">
        <v>342</v>
      </c>
      <c r="D494" s="24" t="s">
        <v>32</v>
      </c>
      <c r="E494" s="24">
        <v>7659.0</v>
      </c>
      <c r="F494" s="24">
        <v>0.0</v>
      </c>
      <c r="G494" s="24">
        <v>0.0</v>
      </c>
      <c r="H494" s="24">
        <v>428.0</v>
      </c>
      <c r="I494" s="24">
        <v>316.0</v>
      </c>
      <c r="J494" s="24">
        <v>141.0</v>
      </c>
      <c r="K494" s="24">
        <v>52.0</v>
      </c>
      <c r="L494" s="24" t="s">
        <v>71</v>
      </c>
      <c r="M494" s="24">
        <v>33.0</v>
      </c>
      <c r="N494" s="24">
        <v>104.0</v>
      </c>
      <c r="O494" s="24">
        <v>45.0</v>
      </c>
      <c r="P494" s="24">
        <v>0.0</v>
      </c>
      <c r="Q494" s="24">
        <v>13.0</v>
      </c>
      <c r="R494" s="24">
        <v>0.0</v>
      </c>
      <c r="S494" s="24">
        <v>0.0</v>
      </c>
      <c r="T494" s="24" t="s">
        <v>193</v>
      </c>
      <c r="U494" s="45"/>
      <c r="V494" s="24" t="s">
        <v>76</v>
      </c>
      <c r="W494" s="66">
        <v>0.1909722222222222</v>
      </c>
      <c r="X494" s="67" t="s">
        <v>343</v>
      </c>
      <c r="Y494" s="48"/>
    </row>
    <row r="495">
      <c r="A495" s="68">
        <v>483.0</v>
      </c>
      <c r="B495" s="69" t="s">
        <v>66</v>
      </c>
      <c r="C495" s="80" t="s">
        <v>344</v>
      </c>
      <c r="D495" s="35" t="s">
        <v>32</v>
      </c>
      <c r="E495" s="35">
        <v>6084.0</v>
      </c>
      <c r="F495" s="35">
        <v>314.0</v>
      </c>
      <c r="G495" s="35">
        <v>248.0</v>
      </c>
      <c r="H495" s="35">
        <v>0.0</v>
      </c>
      <c r="I495" s="35">
        <v>223.0</v>
      </c>
      <c r="J495" s="35">
        <v>185.0</v>
      </c>
      <c r="K495" s="35">
        <v>68.0</v>
      </c>
      <c r="L495" s="35" t="s">
        <v>71</v>
      </c>
      <c r="M495" s="35">
        <v>26.0</v>
      </c>
      <c r="N495" s="35">
        <v>135.0</v>
      </c>
      <c r="O495" s="35">
        <v>50.0</v>
      </c>
      <c r="P495" s="35">
        <v>0.0</v>
      </c>
      <c r="Q495" s="35">
        <v>12.0</v>
      </c>
      <c r="R495" s="35">
        <v>0.0</v>
      </c>
      <c r="S495" s="35">
        <v>0.0</v>
      </c>
      <c r="T495" s="35" t="s">
        <v>193</v>
      </c>
      <c r="U495" s="71"/>
      <c r="V495" s="35" t="s">
        <v>76</v>
      </c>
      <c r="W495" s="72">
        <v>0.08680555555555555</v>
      </c>
      <c r="X495" s="73" t="s">
        <v>343</v>
      </c>
      <c r="Y495" s="74"/>
    </row>
    <row r="496">
      <c r="A496" s="41">
        <v>484.0</v>
      </c>
      <c r="B496" s="42" t="s">
        <v>242</v>
      </c>
      <c r="C496" s="43" t="s">
        <v>345</v>
      </c>
      <c r="D496" s="24" t="s">
        <v>32</v>
      </c>
      <c r="E496" s="24">
        <v>1590.0</v>
      </c>
      <c r="F496" s="24">
        <v>46.0</v>
      </c>
      <c r="G496" s="24">
        <v>547.0</v>
      </c>
      <c r="H496" s="24">
        <v>0.0</v>
      </c>
      <c r="I496" s="24">
        <v>0.0</v>
      </c>
      <c r="J496" s="24">
        <v>112.0</v>
      </c>
      <c r="K496" s="24">
        <v>38.0</v>
      </c>
      <c r="L496" s="24" t="s">
        <v>29</v>
      </c>
      <c r="M496" s="24">
        <v>14.0</v>
      </c>
      <c r="N496" s="24">
        <v>182.0</v>
      </c>
      <c r="O496" s="24">
        <v>72.0</v>
      </c>
      <c r="P496" s="24">
        <v>0.0</v>
      </c>
      <c r="Q496" s="24">
        <v>7.0</v>
      </c>
      <c r="R496" s="24">
        <v>218.0</v>
      </c>
      <c r="S496" s="24">
        <v>2.0</v>
      </c>
      <c r="T496" s="24" t="s">
        <v>193</v>
      </c>
      <c r="U496" s="45"/>
      <c r="V496" s="24" t="s">
        <v>76</v>
      </c>
      <c r="W496" s="66">
        <v>0.007638888888888889</v>
      </c>
      <c r="X496" s="67" t="s">
        <v>346</v>
      </c>
      <c r="Y496" s="48"/>
    </row>
    <row r="497">
      <c r="A497" s="68">
        <v>485.0</v>
      </c>
      <c r="B497" s="69" t="s">
        <v>91</v>
      </c>
      <c r="C497" s="80" t="s">
        <v>347</v>
      </c>
      <c r="D497" s="35" t="s">
        <v>28</v>
      </c>
      <c r="E497" s="35">
        <v>4873.0</v>
      </c>
      <c r="F497" s="35">
        <v>0.0</v>
      </c>
      <c r="G497" s="35">
        <v>0.0</v>
      </c>
      <c r="H497" s="35">
        <v>327.0</v>
      </c>
      <c r="I497" s="35">
        <v>270.0</v>
      </c>
      <c r="J497" s="35">
        <v>182.0</v>
      </c>
      <c r="K497" s="35">
        <v>77.0</v>
      </c>
      <c r="L497" s="35" t="s">
        <v>71</v>
      </c>
      <c r="M497" s="35">
        <v>32.0</v>
      </c>
      <c r="N497" s="35">
        <v>90.0</v>
      </c>
      <c r="O497" s="35">
        <v>30.0</v>
      </c>
      <c r="P497" s="35">
        <v>73.0</v>
      </c>
      <c r="Q497" s="35">
        <v>11.0</v>
      </c>
      <c r="R497" s="35">
        <v>0.0</v>
      </c>
      <c r="S497" s="35">
        <v>0.0</v>
      </c>
      <c r="T497" s="35" t="s">
        <v>193</v>
      </c>
      <c r="U497" s="71"/>
      <c r="V497" s="35" t="s">
        <v>76</v>
      </c>
      <c r="W497" s="82">
        <v>0.09722222222222222</v>
      </c>
      <c r="X497" s="73" t="s">
        <v>343</v>
      </c>
      <c r="Y497" s="74"/>
    </row>
    <row r="498">
      <c r="A498" s="41">
        <v>486.0</v>
      </c>
      <c r="B498" s="42" t="s">
        <v>52</v>
      </c>
      <c r="C498" s="43" t="s">
        <v>348</v>
      </c>
      <c r="D498" s="24" t="s">
        <v>28</v>
      </c>
      <c r="E498" s="24">
        <v>3900.0</v>
      </c>
      <c r="F498" s="24">
        <v>178.0</v>
      </c>
      <c r="G498" s="24">
        <v>308.0</v>
      </c>
      <c r="H498" s="24">
        <v>0.0</v>
      </c>
      <c r="I498" s="24">
        <v>411.0</v>
      </c>
      <c r="J498" s="24">
        <v>194.0</v>
      </c>
      <c r="K498" s="24">
        <v>116.0</v>
      </c>
      <c r="L498" s="24" t="s">
        <v>29</v>
      </c>
      <c r="M498" s="24">
        <v>32.0</v>
      </c>
      <c r="N498" s="24">
        <v>163.0</v>
      </c>
      <c r="O498" s="24">
        <v>80.0</v>
      </c>
      <c r="P498" s="24">
        <v>102.0</v>
      </c>
      <c r="Q498" s="24">
        <v>10.0</v>
      </c>
      <c r="R498" s="24">
        <v>0.0</v>
      </c>
      <c r="S498" s="24">
        <v>0.0</v>
      </c>
      <c r="T498" s="24" t="s">
        <v>193</v>
      </c>
      <c r="U498" s="45"/>
      <c r="V498" s="24" t="s">
        <v>76</v>
      </c>
      <c r="W498" s="66">
        <v>0.05555555555555555</v>
      </c>
      <c r="X498" s="67" t="s">
        <v>343</v>
      </c>
      <c r="Y498" s="48"/>
    </row>
    <row r="499">
      <c r="A499" s="68">
        <v>487.0</v>
      </c>
      <c r="B499" s="69" t="s">
        <v>27</v>
      </c>
      <c r="C499" s="80" t="s">
        <v>349</v>
      </c>
      <c r="D499" s="35" t="s">
        <v>28</v>
      </c>
      <c r="E499" s="35">
        <v>2177.0</v>
      </c>
      <c r="F499" s="35">
        <v>122.0</v>
      </c>
      <c r="G499" s="35">
        <v>331.0</v>
      </c>
      <c r="H499" s="35">
        <v>0.0</v>
      </c>
      <c r="I499" s="35">
        <v>153.0</v>
      </c>
      <c r="J499" s="35">
        <v>202.0</v>
      </c>
      <c r="K499" s="35">
        <v>203.0</v>
      </c>
      <c r="L499" s="35" t="s">
        <v>29</v>
      </c>
      <c r="M499" s="35">
        <v>43.0</v>
      </c>
      <c r="N499" s="35">
        <v>197.0</v>
      </c>
      <c r="O499" s="35">
        <v>56.0</v>
      </c>
      <c r="P499" s="35">
        <v>204.0</v>
      </c>
      <c r="Q499" s="35">
        <v>9.0</v>
      </c>
      <c r="R499" s="35">
        <v>0.0</v>
      </c>
      <c r="S499" s="35">
        <v>0.0</v>
      </c>
      <c r="T499" s="35" t="s">
        <v>193</v>
      </c>
      <c r="U499" s="71"/>
      <c r="V499" s="35" t="s">
        <v>76</v>
      </c>
      <c r="W499" s="97"/>
      <c r="X499" s="73" t="s">
        <v>350</v>
      </c>
      <c r="Y499" s="74"/>
    </row>
    <row r="500">
      <c r="A500" s="41">
        <v>488.0</v>
      </c>
      <c r="B500" s="42" t="s">
        <v>27</v>
      </c>
      <c r="C500" s="43" t="s">
        <v>351</v>
      </c>
      <c r="D500" s="24" t="s">
        <v>28</v>
      </c>
      <c r="E500" s="24">
        <v>2175.0</v>
      </c>
      <c r="F500" s="24">
        <v>77.0</v>
      </c>
      <c r="G500" s="24">
        <v>429.0</v>
      </c>
      <c r="H500" s="24">
        <v>0.0</v>
      </c>
      <c r="I500" s="24">
        <v>146.0</v>
      </c>
      <c r="J500" s="24">
        <v>210.0</v>
      </c>
      <c r="K500" s="24">
        <v>201.0</v>
      </c>
      <c r="L500" s="24" t="s">
        <v>29</v>
      </c>
      <c r="M500" s="24">
        <v>43.0</v>
      </c>
      <c r="N500" s="24">
        <v>187.0</v>
      </c>
      <c r="O500" s="24">
        <v>45.0</v>
      </c>
      <c r="P500" s="24">
        <v>200.0</v>
      </c>
      <c r="Q500" s="24">
        <v>9.0</v>
      </c>
      <c r="R500" s="24">
        <v>0.0</v>
      </c>
      <c r="S500" s="24">
        <v>0.0</v>
      </c>
      <c r="T500" s="24" t="s">
        <v>193</v>
      </c>
      <c r="U500" s="45"/>
      <c r="V500" s="24" t="s">
        <v>76</v>
      </c>
      <c r="W500" s="46"/>
      <c r="X500" s="67" t="s">
        <v>350</v>
      </c>
      <c r="Y500" s="48"/>
    </row>
    <row r="501">
      <c r="A501" s="68">
        <v>489.0</v>
      </c>
      <c r="B501" s="69" t="s">
        <v>66</v>
      </c>
      <c r="C501" s="70" t="s">
        <v>352</v>
      </c>
      <c r="D501" s="35" t="s">
        <v>32</v>
      </c>
      <c r="E501" s="35">
        <v>5056.0</v>
      </c>
      <c r="F501" s="35">
        <v>256.0</v>
      </c>
      <c r="G501" s="35">
        <v>0.0</v>
      </c>
      <c r="H501" s="35">
        <v>0.0</v>
      </c>
      <c r="I501" s="35">
        <v>248.0</v>
      </c>
      <c r="J501" s="35">
        <v>185.0</v>
      </c>
      <c r="K501" s="35">
        <v>59.0</v>
      </c>
      <c r="L501" s="35" t="s">
        <v>71</v>
      </c>
      <c r="M501" s="35">
        <v>26.0</v>
      </c>
      <c r="N501" s="35">
        <v>121.0</v>
      </c>
      <c r="O501" s="35">
        <v>75.0</v>
      </c>
      <c r="P501" s="35">
        <v>0.0</v>
      </c>
      <c r="Q501" s="35">
        <v>12.0</v>
      </c>
      <c r="R501" s="35">
        <v>0.0</v>
      </c>
      <c r="S501" s="35">
        <v>0.0</v>
      </c>
      <c r="T501" s="35" t="s">
        <v>269</v>
      </c>
      <c r="U501" s="71"/>
      <c r="V501" s="81" t="s">
        <v>76</v>
      </c>
      <c r="W501" s="82">
        <v>0.0798611111111111</v>
      </c>
      <c r="X501" s="73" t="s">
        <v>139</v>
      </c>
      <c r="Y501" s="74"/>
    </row>
    <row r="502">
      <c r="A502" s="41">
        <v>490.0</v>
      </c>
      <c r="B502" s="42" t="s">
        <v>27</v>
      </c>
      <c r="C502" s="99" t="s">
        <v>353</v>
      </c>
      <c r="D502" s="24" t="s">
        <v>28</v>
      </c>
      <c r="E502" s="24">
        <v>1890.0</v>
      </c>
      <c r="F502" s="24">
        <v>115.0</v>
      </c>
      <c r="G502" s="24">
        <v>293.0</v>
      </c>
      <c r="H502" s="24">
        <v>0.0</v>
      </c>
      <c r="I502" s="24">
        <v>157.0</v>
      </c>
      <c r="J502" s="24">
        <v>212.0</v>
      </c>
      <c r="K502" s="24">
        <v>272.0</v>
      </c>
      <c r="L502" s="24" t="s">
        <v>29</v>
      </c>
      <c r="M502" s="24">
        <v>45.0</v>
      </c>
      <c r="N502" s="24">
        <v>225.0</v>
      </c>
      <c r="O502" s="24">
        <v>44.0</v>
      </c>
      <c r="P502" s="24">
        <v>218.0</v>
      </c>
      <c r="Q502" s="24">
        <v>9.0</v>
      </c>
      <c r="R502" s="24">
        <v>0.0</v>
      </c>
      <c r="S502" s="24">
        <v>0.0</v>
      </c>
      <c r="T502" s="24" t="s">
        <v>269</v>
      </c>
      <c r="U502" s="45"/>
      <c r="V502" s="24" t="s">
        <v>76</v>
      </c>
      <c r="W502" s="46"/>
      <c r="X502" s="67" t="s">
        <v>139</v>
      </c>
      <c r="Y502" s="48"/>
    </row>
    <row r="503">
      <c r="A503" s="68">
        <v>491.0</v>
      </c>
      <c r="B503" s="69" t="s">
        <v>27</v>
      </c>
      <c r="C503" s="70" t="s">
        <v>354</v>
      </c>
      <c r="D503" s="35" t="s">
        <v>28</v>
      </c>
      <c r="E503" s="35">
        <v>2528.0</v>
      </c>
      <c r="F503" s="35">
        <v>132.0</v>
      </c>
      <c r="G503" s="35">
        <v>234.0</v>
      </c>
      <c r="H503" s="35">
        <v>0.0</v>
      </c>
      <c r="I503" s="35">
        <v>182.0</v>
      </c>
      <c r="J503" s="35">
        <v>202.0</v>
      </c>
      <c r="K503" s="35">
        <v>226.0</v>
      </c>
      <c r="L503" s="35" t="s">
        <v>29</v>
      </c>
      <c r="M503" s="35">
        <v>45.0</v>
      </c>
      <c r="N503" s="35">
        <v>206.0</v>
      </c>
      <c r="O503" s="35">
        <v>42.0</v>
      </c>
      <c r="P503" s="35">
        <v>202.0</v>
      </c>
      <c r="Q503" s="35">
        <v>9.0</v>
      </c>
      <c r="R503" s="35">
        <v>0.0</v>
      </c>
      <c r="S503" s="35">
        <v>0.0</v>
      </c>
      <c r="T503" s="35" t="s">
        <v>212</v>
      </c>
      <c r="U503" s="71"/>
      <c r="V503" s="81" t="s">
        <v>355</v>
      </c>
      <c r="W503" s="83"/>
      <c r="X503" s="73" t="s">
        <v>356</v>
      </c>
      <c r="Y503" s="74"/>
    </row>
    <row r="504">
      <c r="A504" s="41">
        <v>492.0</v>
      </c>
      <c r="B504" s="42" t="s">
        <v>242</v>
      </c>
      <c r="C504" s="99" t="s">
        <v>357</v>
      </c>
      <c r="D504" s="24" t="s">
        <v>28</v>
      </c>
      <c r="E504" s="24">
        <v>1292.0</v>
      </c>
      <c r="F504" s="24">
        <v>44.0</v>
      </c>
      <c r="G504" s="24">
        <v>509.0</v>
      </c>
      <c r="H504" s="24">
        <v>0.0</v>
      </c>
      <c r="I504" s="24">
        <v>0.0</v>
      </c>
      <c r="J504" s="24">
        <v>85.0</v>
      </c>
      <c r="K504" s="24">
        <v>38.0</v>
      </c>
      <c r="L504" s="24" t="s">
        <v>29</v>
      </c>
      <c r="M504" s="24">
        <v>14.0</v>
      </c>
      <c r="N504" s="24">
        <v>177.0</v>
      </c>
      <c r="O504" s="24">
        <v>50.0</v>
      </c>
      <c r="P504" s="24">
        <v>0.0</v>
      </c>
      <c r="Q504" s="24">
        <v>6.0</v>
      </c>
      <c r="R504" s="24">
        <v>188.0</v>
      </c>
      <c r="S504" s="24">
        <v>2.0</v>
      </c>
      <c r="T504" s="24" t="s">
        <v>193</v>
      </c>
      <c r="U504" s="45"/>
      <c r="V504" s="24" t="s">
        <v>76</v>
      </c>
      <c r="W504" s="46"/>
      <c r="X504" s="67" t="s">
        <v>358</v>
      </c>
      <c r="Y504" s="48"/>
    </row>
    <row r="505">
      <c r="A505" s="68">
        <v>493.0</v>
      </c>
      <c r="B505" s="69" t="s">
        <v>52</v>
      </c>
      <c r="C505" s="70" t="s">
        <v>359</v>
      </c>
      <c r="D505" s="35" t="s">
        <v>28</v>
      </c>
      <c r="E505" s="35">
        <v>2499.0</v>
      </c>
      <c r="F505" s="35">
        <v>71.0</v>
      </c>
      <c r="G505" s="35">
        <v>235.0</v>
      </c>
      <c r="H505" s="35">
        <v>0.0</v>
      </c>
      <c r="I505" s="35">
        <v>133.0</v>
      </c>
      <c r="J505" s="35">
        <v>141.0</v>
      </c>
      <c r="K505" s="35">
        <v>83.0</v>
      </c>
      <c r="L505" s="35" t="s">
        <v>71</v>
      </c>
      <c r="M505" s="35">
        <v>20.0</v>
      </c>
      <c r="N505" s="35">
        <v>159.0</v>
      </c>
      <c r="O505" s="35">
        <v>20.0</v>
      </c>
      <c r="P505" s="35">
        <v>73.0</v>
      </c>
      <c r="Q505" s="35">
        <v>9.0</v>
      </c>
      <c r="R505" s="35">
        <v>0.0</v>
      </c>
      <c r="S505" s="35">
        <v>0.0</v>
      </c>
      <c r="T505" s="35" t="s">
        <v>206</v>
      </c>
      <c r="U505" s="71"/>
      <c r="V505" s="35" t="s">
        <v>29</v>
      </c>
      <c r="W505" s="72">
        <v>0.02638888888888889</v>
      </c>
      <c r="X505" s="95"/>
      <c r="Y505" s="74"/>
    </row>
    <row r="506">
      <c r="A506" s="41">
        <v>494.0</v>
      </c>
      <c r="B506" s="42" t="s">
        <v>52</v>
      </c>
      <c r="C506" s="99" t="s">
        <v>360</v>
      </c>
      <c r="D506" s="24" t="s">
        <v>28</v>
      </c>
      <c r="E506" s="24">
        <v>2596.0</v>
      </c>
      <c r="F506" s="24">
        <v>71.0</v>
      </c>
      <c r="G506" s="24">
        <v>235.0</v>
      </c>
      <c r="H506" s="24">
        <v>0.0</v>
      </c>
      <c r="I506" s="24">
        <v>131.0</v>
      </c>
      <c r="J506" s="24">
        <v>141.0</v>
      </c>
      <c r="K506" s="24">
        <v>83.0</v>
      </c>
      <c r="L506" s="24" t="s">
        <v>71</v>
      </c>
      <c r="M506" s="24">
        <v>20.0</v>
      </c>
      <c r="N506" s="24">
        <v>159.0</v>
      </c>
      <c r="O506" s="24">
        <v>20.0</v>
      </c>
      <c r="P506" s="24">
        <v>73.0</v>
      </c>
      <c r="Q506" s="24">
        <v>9.0</v>
      </c>
      <c r="R506" s="24">
        <v>0.0</v>
      </c>
      <c r="S506" s="24">
        <v>0.0</v>
      </c>
      <c r="T506" s="24" t="s">
        <v>206</v>
      </c>
      <c r="U506" s="45"/>
      <c r="V506" s="24" t="s">
        <v>29</v>
      </c>
      <c r="W506" s="66">
        <v>0.02638888888888889</v>
      </c>
      <c r="X506" s="47"/>
      <c r="Y506" s="48"/>
    </row>
    <row r="507">
      <c r="A507" s="68">
        <v>495.0</v>
      </c>
      <c r="B507" s="69" t="s">
        <v>52</v>
      </c>
      <c r="C507" s="70" t="s">
        <v>361</v>
      </c>
      <c r="D507" s="35" t="s">
        <v>28</v>
      </c>
      <c r="E507" s="35">
        <v>2982.0</v>
      </c>
      <c r="F507" s="35">
        <v>161.0</v>
      </c>
      <c r="G507" s="35">
        <v>282.0</v>
      </c>
      <c r="H507" s="35">
        <v>0.0</v>
      </c>
      <c r="I507" s="35">
        <v>341.0</v>
      </c>
      <c r="J507" s="35">
        <v>196.0</v>
      </c>
      <c r="K507" s="35">
        <v>119.0</v>
      </c>
      <c r="L507" s="35" t="s">
        <v>29</v>
      </c>
      <c r="M507" s="35">
        <v>32.0</v>
      </c>
      <c r="N507" s="35">
        <v>175.0</v>
      </c>
      <c r="O507" s="35">
        <v>52.0</v>
      </c>
      <c r="P507" s="35">
        <v>119.0</v>
      </c>
      <c r="Q507" s="35">
        <v>10.0</v>
      </c>
      <c r="R507" s="35">
        <v>0.0</v>
      </c>
      <c r="S507" s="35">
        <v>0.0</v>
      </c>
      <c r="T507" s="35" t="s">
        <v>104</v>
      </c>
      <c r="U507" s="71"/>
      <c r="V507" s="35" t="s">
        <v>29</v>
      </c>
      <c r="W507" s="72">
        <v>0.05555555555555555</v>
      </c>
      <c r="X507" s="95"/>
      <c r="Y507" s="74"/>
    </row>
    <row r="508">
      <c r="A508" s="41">
        <v>496.0</v>
      </c>
      <c r="B508" s="42" t="s">
        <v>66</v>
      </c>
      <c r="C508" s="99" t="s">
        <v>362</v>
      </c>
      <c r="D508" s="24" t="s">
        <v>32</v>
      </c>
      <c r="E508" s="24">
        <v>5742.0</v>
      </c>
      <c r="F508" s="24">
        <v>265.0</v>
      </c>
      <c r="G508" s="24">
        <v>199.0</v>
      </c>
      <c r="H508" s="24">
        <v>0.0</v>
      </c>
      <c r="I508" s="24">
        <v>226.0</v>
      </c>
      <c r="J508" s="24">
        <v>185.0</v>
      </c>
      <c r="K508" s="24">
        <v>64.0</v>
      </c>
      <c r="L508" s="24" t="s">
        <v>71</v>
      </c>
      <c r="M508" s="24">
        <v>25.0</v>
      </c>
      <c r="N508" s="24">
        <v>152.0</v>
      </c>
      <c r="O508" s="24">
        <v>80.0</v>
      </c>
      <c r="P508" s="24">
        <v>0.0</v>
      </c>
      <c r="Q508" s="24">
        <v>12.0</v>
      </c>
      <c r="R508" s="24">
        <v>0.0</v>
      </c>
      <c r="S508" s="24">
        <v>0.0</v>
      </c>
      <c r="T508" s="24" t="s">
        <v>212</v>
      </c>
      <c r="U508" s="45"/>
      <c r="V508" s="24" t="s">
        <v>76</v>
      </c>
      <c r="W508" s="66">
        <v>0.08333333333333333</v>
      </c>
      <c r="X508" s="67" t="s">
        <v>363</v>
      </c>
      <c r="Y508" s="48"/>
    </row>
    <row r="509">
      <c r="A509" s="68">
        <v>497.0</v>
      </c>
      <c r="B509" s="69" t="s">
        <v>27</v>
      </c>
      <c r="C509" s="70" t="s">
        <v>364</v>
      </c>
      <c r="D509" s="35" t="s">
        <v>28</v>
      </c>
      <c r="E509" s="35">
        <v>2218.0</v>
      </c>
      <c r="F509" s="35">
        <v>144.0</v>
      </c>
      <c r="G509" s="35">
        <v>282.0</v>
      </c>
      <c r="H509" s="35">
        <v>0.0</v>
      </c>
      <c r="I509" s="35">
        <v>153.0</v>
      </c>
      <c r="J509" s="35">
        <v>202.0</v>
      </c>
      <c r="K509" s="35">
        <v>213.0</v>
      </c>
      <c r="L509" s="35" t="s">
        <v>29</v>
      </c>
      <c r="M509" s="35">
        <v>45.0</v>
      </c>
      <c r="N509" s="35">
        <v>206.0</v>
      </c>
      <c r="O509" s="35">
        <v>70.0</v>
      </c>
      <c r="P509" s="35">
        <v>202.0</v>
      </c>
      <c r="Q509" s="35">
        <v>9.0</v>
      </c>
      <c r="R509" s="35">
        <v>0.0</v>
      </c>
      <c r="S509" s="35">
        <v>0.0</v>
      </c>
      <c r="T509" s="35" t="s">
        <v>212</v>
      </c>
      <c r="U509" s="71"/>
      <c r="V509" s="35" t="s">
        <v>76</v>
      </c>
      <c r="W509" s="72">
        <v>0.022222222222222223</v>
      </c>
      <c r="X509" s="73" t="s">
        <v>290</v>
      </c>
      <c r="Y509" s="74"/>
    </row>
    <row r="510">
      <c r="A510" s="41">
        <v>498.0</v>
      </c>
      <c r="B510" s="42" t="s">
        <v>52</v>
      </c>
      <c r="C510" s="99" t="s">
        <v>365</v>
      </c>
      <c r="D510" s="24" t="s">
        <v>28</v>
      </c>
      <c r="E510" s="24">
        <v>3475.0</v>
      </c>
      <c r="F510" s="24">
        <v>159.0</v>
      </c>
      <c r="G510" s="24">
        <v>265.0</v>
      </c>
      <c r="H510" s="24">
        <v>0.0</v>
      </c>
      <c r="I510" s="24">
        <v>299.0</v>
      </c>
      <c r="J510" s="24">
        <v>193.0</v>
      </c>
      <c r="K510" s="24">
        <v>120.0</v>
      </c>
      <c r="L510" s="24" t="s">
        <v>29</v>
      </c>
      <c r="M510" s="24">
        <v>35.0</v>
      </c>
      <c r="N510" s="24">
        <v>156.0</v>
      </c>
      <c r="O510" s="24">
        <v>65.0</v>
      </c>
      <c r="P510" s="24">
        <v>130.0</v>
      </c>
      <c r="Q510" s="24">
        <v>10.0</v>
      </c>
      <c r="R510" s="24">
        <v>0.0</v>
      </c>
      <c r="S510" s="24">
        <v>0.0</v>
      </c>
      <c r="T510" s="24" t="s">
        <v>212</v>
      </c>
      <c r="U510" s="45"/>
      <c r="V510" s="24" t="s">
        <v>76</v>
      </c>
      <c r="W510" s="66">
        <v>0.04513888888888889</v>
      </c>
      <c r="X510" s="67" t="s">
        <v>290</v>
      </c>
      <c r="Y510" s="48"/>
    </row>
    <row r="511">
      <c r="A511" s="68">
        <v>499.0</v>
      </c>
      <c r="B511" s="69" t="s">
        <v>27</v>
      </c>
      <c r="C511" s="70" t="s">
        <v>366</v>
      </c>
      <c r="D511" s="35" t="s">
        <v>28</v>
      </c>
      <c r="E511" s="35">
        <v>2332.0</v>
      </c>
      <c r="F511" s="35">
        <v>132.0</v>
      </c>
      <c r="G511" s="35">
        <v>239.0</v>
      </c>
      <c r="H511" s="35">
        <v>0.0</v>
      </c>
      <c r="I511" s="35">
        <v>171.0</v>
      </c>
      <c r="J511" s="35">
        <v>202.0</v>
      </c>
      <c r="K511" s="35">
        <v>226.0</v>
      </c>
      <c r="L511" s="35" t="s">
        <v>29</v>
      </c>
      <c r="M511" s="35">
        <v>45.0</v>
      </c>
      <c r="N511" s="35">
        <v>206.0</v>
      </c>
      <c r="O511" s="35">
        <v>45.0</v>
      </c>
      <c r="P511" s="35">
        <v>207.0</v>
      </c>
      <c r="Q511" s="35">
        <v>9.0</v>
      </c>
      <c r="R511" s="35">
        <v>0.0</v>
      </c>
      <c r="S511" s="35">
        <v>0.0</v>
      </c>
      <c r="T511" s="35" t="s">
        <v>212</v>
      </c>
      <c r="U511" s="71"/>
      <c r="V511" s="35" t="s">
        <v>76</v>
      </c>
      <c r="W511" s="97"/>
      <c r="X511" s="73" t="s">
        <v>367</v>
      </c>
      <c r="Y511" s="74"/>
    </row>
    <row r="512">
      <c r="A512" s="41">
        <v>500.0</v>
      </c>
      <c r="B512" s="42" t="s">
        <v>82</v>
      </c>
      <c r="C512" s="99" t="s">
        <v>368</v>
      </c>
      <c r="D512" s="24" t="s">
        <v>32</v>
      </c>
      <c r="E512" s="24">
        <v>8693.0</v>
      </c>
      <c r="F512" s="24">
        <v>434.0</v>
      </c>
      <c r="G512" s="24">
        <v>0.0</v>
      </c>
      <c r="H512" s="24">
        <v>0.0</v>
      </c>
      <c r="I512" s="24">
        <v>248.0</v>
      </c>
      <c r="J512" s="24">
        <v>161.0</v>
      </c>
      <c r="K512" s="24">
        <v>37.0</v>
      </c>
      <c r="L512" s="24" t="s">
        <v>83</v>
      </c>
      <c r="M512" s="24">
        <v>30.0</v>
      </c>
      <c r="N512" s="24">
        <v>60.0</v>
      </c>
      <c r="O512" s="24">
        <v>80.0</v>
      </c>
      <c r="P512" s="24">
        <v>0.0</v>
      </c>
      <c r="Q512" s="24">
        <v>15.0</v>
      </c>
      <c r="R512" s="24">
        <v>0.0</v>
      </c>
      <c r="S512" s="24">
        <v>0.0</v>
      </c>
      <c r="T512" s="24" t="s">
        <v>269</v>
      </c>
      <c r="U512" s="45"/>
      <c r="V512" s="24" t="s">
        <v>76</v>
      </c>
      <c r="W512" s="66">
        <v>0.21875</v>
      </c>
      <c r="X512" s="67" t="s">
        <v>369</v>
      </c>
      <c r="Y512" s="48"/>
    </row>
    <row r="513">
      <c r="A513" s="68">
        <v>501.0</v>
      </c>
      <c r="B513" s="69" t="s">
        <v>52</v>
      </c>
      <c r="C513" s="70" t="s">
        <v>370</v>
      </c>
      <c r="D513" s="35" t="s">
        <v>32</v>
      </c>
      <c r="E513" s="35">
        <v>4460.0</v>
      </c>
      <c r="F513" s="35">
        <v>161.0</v>
      </c>
      <c r="G513" s="35">
        <v>324.0</v>
      </c>
      <c r="H513" s="35">
        <v>0.0</v>
      </c>
      <c r="I513" s="35">
        <v>379.0</v>
      </c>
      <c r="J513" s="35">
        <v>183.0</v>
      </c>
      <c r="K513" s="35">
        <v>113.0</v>
      </c>
      <c r="L513" s="35" t="s">
        <v>29</v>
      </c>
      <c r="M513" s="35">
        <v>35.0</v>
      </c>
      <c r="N513" s="35">
        <v>177.0</v>
      </c>
      <c r="O513" s="35">
        <v>85.0</v>
      </c>
      <c r="P513" s="35">
        <v>99.0</v>
      </c>
      <c r="Q513" s="35">
        <v>11.0</v>
      </c>
      <c r="R513" s="35">
        <v>0.0</v>
      </c>
      <c r="S513" s="35">
        <v>0.0</v>
      </c>
      <c r="T513" s="35" t="s">
        <v>269</v>
      </c>
      <c r="U513" s="71"/>
      <c r="V513" s="35" t="s">
        <v>76</v>
      </c>
      <c r="W513" s="72">
        <v>0.059722222222222225</v>
      </c>
      <c r="X513" s="73" t="s">
        <v>369</v>
      </c>
      <c r="Y513" s="74"/>
    </row>
    <row r="514">
      <c r="A514" s="41">
        <v>502.0</v>
      </c>
      <c r="B514" s="42" t="s">
        <v>95</v>
      </c>
      <c r="C514" s="99" t="s">
        <v>371</v>
      </c>
      <c r="D514" s="24" t="s">
        <v>32</v>
      </c>
      <c r="E514" s="24">
        <v>6358.0</v>
      </c>
      <c r="F514" s="24">
        <v>0.0</v>
      </c>
      <c r="G514" s="24">
        <v>0.0</v>
      </c>
      <c r="H514" s="24">
        <v>403.0</v>
      </c>
      <c r="I514" s="24">
        <v>371.0</v>
      </c>
      <c r="J514" s="24">
        <v>129.0</v>
      </c>
      <c r="K514" s="24">
        <v>46.0</v>
      </c>
      <c r="L514" s="24" t="s">
        <v>71</v>
      </c>
      <c r="M514" s="24">
        <v>30.0</v>
      </c>
      <c r="N514" s="24">
        <v>104.0</v>
      </c>
      <c r="O514" s="24">
        <v>40.0</v>
      </c>
      <c r="P514" s="24">
        <v>0.0</v>
      </c>
      <c r="Q514" s="24">
        <v>13.0</v>
      </c>
      <c r="R514" s="24">
        <v>0.0</v>
      </c>
      <c r="S514" s="24">
        <v>0.0</v>
      </c>
      <c r="T514" s="24" t="s">
        <v>269</v>
      </c>
      <c r="U514" s="45"/>
      <c r="V514" s="24" t="s">
        <v>76</v>
      </c>
      <c r="W514" s="66">
        <v>0.1909722222222222</v>
      </c>
      <c r="X514" s="67" t="s">
        <v>369</v>
      </c>
      <c r="Y514" s="48"/>
    </row>
    <row r="515">
      <c r="A515" s="68">
        <v>503.0</v>
      </c>
      <c r="B515" s="69" t="s">
        <v>242</v>
      </c>
      <c r="C515" s="70" t="s">
        <v>372</v>
      </c>
      <c r="D515" s="35" t="s">
        <v>28</v>
      </c>
      <c r="E515" s="35">
        <v>1555.0</v>
      </c>
      <c r="F515" s="35">
        <v>39.0</v>
      </c>
      <c r="G515" s="35">
        <v>505.0</v>
      </c>
      <c r="H515" s="35">
        <v>0.0</v>
      </c>
      <c r="I515" s="35">
        <v>0.0</v>
      </c>
      <c r="J515" s="35">
        <v>85.0</v>
      </c>
      <c r="K515" s="35">
        <v>38.0</v>
      </c>
      <c r="L515" s="35" t="s">
        <v>29</v>
      </c>
      <c r="M515" s="35">
        <v>14.0</v>
      </c>
      <c r="N515" s="35">
        <v>182.0</v>
      </c>
      <c r="O515" s="35">
        <v>16.0</v>
      </c>
      <c r="P515" s="35">
        <v>0.0</v>
      </c>
      <c r="Q515" s="35">
        <v>7.0</v>
      </c>
      <c r="R515" s="35">
        <v>208.0</v>
      </c>
      <c r="S515" s="35">
        <v>2.0</v>
      </c>
      <c r="T515" s="35" t="s">
        <v>269</v>
      </c>
      <c r="U515" s="71"/>
      <c r="V515" s="35" t="s">
        <v>76</v>
      </c>
      <c r="W515" s="97"/>
      <c r="X515" s="73" t="s">
        <v>369</v>
      </c>
      <c r="Y515" s="74"/>
    </row>
    <row r="516">
      <c r="A516" s="41">
        <v>504.0</v>
      </c>
      <c r="B516" s="42" t="s">
        <v>27</v>
      </c>
      <c r="C516" s="99" t="s">
        <v>373</v>
      </c>
      <c r="D516" s="24" t="s">
        <v>28</v>
      </c>
      <c r="E516" s="24">
        <v>1865.0</v>
      </c>
      <c r="F516" s="24">
        <v>110.0</v>
      </c>
      <c r="G516" s="24">
        <v>297.0</v>
      </c>
      <c r="H516" s="24">
        <v>0.0</v>
      </c>
      <c r="I516" s="24">
        <v>164.0</v>
      </c>
      <c r="J516" s="24">
        <v>212.0</v>
      </c>
      <c r="K516" s="24">
        <v>278.0</v>
      </c>
      <c r="L516" s="24" t="s">
        <v>29</v>
      </c>
      <c r="M516" s="24">
        <v>45.0</v>
      </c>
      <c r="N516" s="24">
        <v>225.0</v>
      </c>
      <c r="O516" s="24">
        <v>56.0</v>
      </c>
      <c r="P516" s="24">
        <v>195.0</v>
      </c>
      <c r="Q516" s="24">
        <v>9.0</v>
      </c>
      <c r="R516" s="24">
        <v>0.0</v>
      </c>
      <c r="S516" s="24">
        <v>0.0</v>
      </c>
      <c r="T516" s="24" t="s">
        <v>269</v>
      </c>
      <c r="U516" s="45"/>
      <c r="V516" s="24" t="s">
        <v>76</v>
      </c>
      <c r="W516" s="66">
        <v>0.021296296296296296</v>
      </c>
      <c r="X516" s="67" t="s">
        <v>369</v>
      </c>
      <c r="Y516" s="48"/>
    </row>
    <row r="517">
      <c r="A517" s="68">
        <v>505.0</v>
      </c>
      <c r="B517" s="69" t="s">
        <v>27</v>
      </c>
      <c r="C517" s="70" t="s">
        <v>374</v>
      </c>
      <c r="D517" s="35" t="s">
        <v>28</v>
      </c>
      <c r="E517" s="35">
        <v>1826.0</v>
      </c>
      <c r="F517" s="35">
        <v>117.0</v>
      </c>
      <c r="G517" s="35">
        <v>303.0</v>
      </c>
      <c r="H517" s="35">
        <v>0.0</v>
      </c>
      <c r="I517" s="35">
        <v>157.0</v>
      </c>
      <c r="J517" s="35">
        <v>212.0</v>
      </c>
      <c r="K517" s="35">
        <v>272.0</v>
      </c>
      <c r="L517" s="35" t="s">
        <v>29</v>
      </c>
      <c r="M517" s="35">
        <v>45.0</v>
      </c>
      <c r="N517" s="35">
        <v>225.0</v>
      </c>
      <c r="O517" s="35">
        <v>42.0</v>
      </c>
      <c r="P517" s="35">
        <v>187.0</v>
      </c>
      <c r="Q517" s="35">
        <v>9.0</v>
      </c>
      <c r="R517" s="35">
        <v>0.0</v>
      </c>
      <c r="S517" s="35">
        <v>0.0</v>
      </c>
      <c r="T517" s="35" t="s">
        <v>269</v>
      </c>
      <c r="U517" s="71"/>
      <c r="V517" s="35" t="s">
        <v>76</v>
      </c>
      <c r="W517" s="72">
        <v>0.021296296296296296</v>
      </c>
      <c r="X517" s="73" t="s">
        <v>369</v>
      </c>
      <c r="Y517" s="74"/>
    </row>
    <row r="518">
      <c r="A518" s="41">
        <v>506.0</v>
      </c>
      <c r="B518" s="42" t="s">
        <v>27</v>
      </c>
      <c r="C518" s="99" t="s">
        <v>375</v>
      </c>
      <c r="D518" s="24" t="s">
        <v>28</v>
      </c>
      <c r="E518" s="24">
        <v>1895.0</v>
      </c>
      <c r="F518" s="24">
        <v>117.0</v>
      </c>
      <c r="G518" s="24">
        <v>283.0</v>
      </c>
      <c r="H518" s="24">
        <v>0.0</v>
      </c>
      <c r="I518" s="24">
        <v>175.0</v>
      </c>
      <c r="J518" s="24">
        <v>202.0</v>
      </c>
      <c r="K518" s="24">
        <v>269.0</v>
      </c>
      <c r="L518" s="24" t="s">
        <v>29</v>
      </c>
      <c r="M518" s="24">
        <v>39.0</v>
      </c>
      <c r="N518" s="24">
        <v>210.0</v>
      </c>
      <c r="O518" s="24">
        <v>82.0</v>
      </c>
      <c r="P518" s="24">
        <v>209.0</v>
      </c>
      <c r="Q518" s="24">
        <v>9.0</v>
      </c>
      <c r="R518" s="24">
        <v>0.0</v>
      </c>
      <c r="S518" s="24">
        <v>0.0</v>
      </c>
      <c r="T518" s="24" t="s">
        <v>269</v>
      </c>
      <c r="U518" s="45"/>
      <c r="V518" s="24" t="s">
        <v>76</v>
      </c>
      <c r="W518" s="66">
        <v>0.02060185185185185</v>
      </c>
      <c r="X518" s="67" t="s">
        <v>369</v>
      </c>
      <c r="Y518" s="48"/>
    </row>
    <row r="519">
      <c r="A519" s="68">
        <v>507.0</v>
      </c>
      <c r="B519" s="69" t="s">
        <v>27</v>
      </c>
      <c r="C519" s="70" t="s">
        <v>376</v>
      </c>
      <c r="D519" s="35" t="s">
        <v>36</v>
      </c>
      <c r="E519" s="35">
        <v>1599.0</v>
      </c>
      <c r="F519" s="35">
        <v>60.0</v>
      </c>
      <c r="G519" s="35">
        <v>409.0</v>
      </c>
      <c r="H519" s="35">
        <v>0.0</v>
      </c>
      <c r="I519" s="35">
        <v>133.0</v>
      </c>
      <c r="J519" s="35">
        <v>205.0</v>
      </c>
      <c r="K519" s="35">
        <v>250.0</v>
      </c>
      <c r="L519" s="35" t="s">
        <v>29</v>
      </c>
      <c r="M519" s="35">
        <v>44.0</v>
      </c>
      <c r="N519" s="35">
        <v>206.0</v>
      </c>
      <c r="O519" s="35">
        <v>42.0</v>
      </c>
      <c r="P519" s="35">
        <v>198.0</v>
      </c>
      <c r="Q519" s="35">
        <v>7.0</v>
      </c>
      <c r="R519" s="35">
        <v>0.0</v>
      </c>
      <c r="S519" s="35">
        <v>0.0</v>
      </c>
      <c r="T519" s="35" t="s">
        <v>143</v>
      </c>
      <c r="U519" s="71"/>
      <c r="V519" s="35" t="s">
        <v>377</v>
      </c>
      <c r="W519" s="97"/>
      <c r="X519" s="95"/>
      <c r="Y519" s="74"/>
    </row>
    <row r="520">
      <c r="A520" s="41">
        <v>508.0</v>
      </c>
      <c r="B520" s="42" t="s">
        <v>27</v>
      </c>
      <c r="C520" s="99" t="s">
        <v>378</v>
      </c>
      <c r="D520" s="24" t="s">
        <v>32</v>
      </c>
      <c r="E520" s="24">
        <v>2588.0</v>
      </c>
      <c r="F520" s="24">
        <v>142.0</v>
      </c>
      <c r="G520" s="24">
        <v>378.0</v>
      </c>
      <c r="H520" s="24">
        <v>0.0</v>
      </c>
      <c r="I520" s="24">
        <v>238.0</v>
      </c>
      <c r="J520" s="24">
        <v>232.0</v>
      </c>
      <c r="K520" s="24">
        <v>230.0</v>
      </c>
      <c r="L520" s="24" t="s">
        <v>29</v>
      </c>
      <c r="M520" s="24">
        <v>40.0</v>
      </c>
      <c r="N520" s="24">
        <v>235.0</v>
      </c>
      <c r="O520" s="24">
        <v>80.0</v>
      </c>
      <c r="P520" s="24">
        <v>224.0</v>
      </c>
      <c r="Q520" s="24">
        <v>10.0</v>
      </c>
      <c r="R520" s="24">
        <v>0.0</v>
      </c>
      <c r="S520" s="24">
        <v>0.0</v>
      </c>
      <c r="T520" s="24" t="s">
        <v>37</v>
      </c>
      <c r="U520" s="45"/>
      <c r="V520" s="24" t="s">
        <v>76</v>
      </c>
      <c r="W520" s="66">
        <v>0.02013888888888889</v>
      </c>
      <c r="X520" s="67" t="s">
        <v>379</v>
      </c>
      <c r="Y520" s="48"/>
    </row>
    <row r="521">
      <c r="A521" s="68">
        <v>509.0</v>
      </c>
      <c r="B521" s="69" t="s">
        <v>27</v>
      </c>
      <c r="C521" s="70" t="s">
        <v>380</v>
      </c>
      <c r="D521" s="35" t="s">
        <v>28</v>
      </c>
      <c r="E521" s="35">
        <v>2208.0</v>
      </c>
      <c r="F521" s="35">
        <v>91.0</v>
      </c>
      <c r="G521" s="35">
        <v>296.0</v>
      </c>
      <c r="H521" s="35">
        <v>0.0</v>
      </c>
      <c r="I521" s="35">
        <v>185.0</v>
      </c>
      <c r="J521" s="35">
        <v>207.0</v>
      </c>
      <c r="K521" s="35">
        <v>206.0</v>
      </c>
      <c r="L521" s="35" t="s">
        <v>29</v>
      </c>
      <c r="M521" s="35">
        <v>42.0</v>
      </c>
      <c r="N521" s="35">
        <v>222.0</v>
      </c>
      <c r="O521" s="35">
        <v>70.0</v>
      </c>
      <c r="P521" s="35">
        <v>215.0</v>
      </c>
      <c r="Q521" s="35">
        <v>9.0</v>
      </c>
      <c r="R521" s="35">
        <v>0.0</v>
      </c>
      <c r="S521" s="35">
        <v>0.0</v>
      </c>
      <c r="T521" s="35" t="s">
        <v>37</v>
      </c>
      <c r="U521" s="71"/>
      <c r="V521" s="35" t="s">
        <v>76</v>
      </c>
      <c r="W521" s="72">
        <v>0.019444444444444445</v>
      </c>
      <c r="X521" s="73" t="s">
        <v>379</v>
      </c>
      <c r="Y521" s="74"/>
    </row>
    <row r="522">
      <c r="A522" s="41">
        <v>510.0</v>
      </c>
      <c r="B522" s="42" t="s">
        <v>126</v>
      </c>
      <c r="C522" s="99" t="s">
        <v>381</v>
      </c>
      <c r="D522" s="24" t="s">
        <v>28</v>
      </c>
      <c r="E522" s="24">
        <v>7397.0</v>
      </c>
      <c r="F522" s="24">
        <v>372.0</v>
      </c>
      <c r="G522" s="24">
        <v>174.0</v>
      </c>
      <c r="H522" s="24">
        <v>0.0</v>
      </c>
      <c r="I522" s="24">
        <v>185.0</v>
      </c>
      <c r="J522" s="24">
        <v>144.0</v>
      </c>
      <c r="K522" s="24">
        <v>45.0</v>
      </c>
      <c r="L522" s="24" t="s">
        <v>71</v>
      </c>
      <c r="M522" s="24">
        <v>30.0</v>
      </c>
      <c r="N522" s="24">
        <v>70.0</v>
      </c>
      <c r="O522" s="24">
        <v>23.0</v>
      </c>
      <c r="P522" s="24">
        <v>0.0</v>
      </c>
      <c r="Q522" s="24">
        <v>14.0</v>
      </c>
      <c r="R522" s="24">
        <v>0.0</v>
      </c>
      <c r="S522" s="24">
        <v>0.0</v>
      </c>
      <c r="T522" s="24" t="s">
        <v>143</v>
      </c>
      <c r="U522" s="45"/>
      <c r="V522" s="24" t="s">
        <v>76</v>
      </c>
      <c r="W522" s="46"/>
      <c r="X522" s="67" t="s">
        <v>382</v>
      </c>
      <c r="Y522" s="48"/>
    </row>
    <row r="523">
      <c r="A523" s="68">
        <v>511.0</v>
      </c>
      <c r="B523" s="69" t="s">
        <v>95</v>
      </c>
      <c r="C523" s="70" t="s">
        <v>383</v>
      </c>
      <c r="D523" s="35" t="s">
        <v>32</v>
      </c>
      <c r="E523" s="35">
        <v>6779.0</v>
      </c>
      <c r="F523" s="35">
        <v>0.0</v>
      </c>
      <c r="G523" s="35">
        <v>0.0</v>
      </c>
      <c r="H523" s="35">
        <v>438.0</v>
      </c>
      <c r="I523" s="35">
        <v>338.0</v>
      </c>
      <c r="J523" s="35">
        <v>132.0</v>
      </c>
      <c r="K523" s="35">
        <v>56.0</v>
      </c>
      <c r="L523" s="35" t="s">
        <v>71</v>
      </c>
      <c r="M523" s="35">
        <v>33.0</v>
      </c>
      <c r="N523" s="35">
        <v>90.0</v>
      </c>
      <c r="O523" s="35">
        <v>72.0</v>
      </c>
      <c r="P523" s="35">
        <v>0.0</v>
      </c>
      <c r="Q523" s="35">
        <v>13.0</v>
      </c>
      <c r="R523" s="35">
        <v>0.0</v>
      </c>
      <c r="S523" s="35">
        <v>0.0</v>
      </c>
      <c r="T523" s="35" t="s">
        <v>37</v>
      </c>
      <c r="U523" s="71"/>
      <c r="V523" s="35" t="s">
        <v>76</v>
      </c>
      <c r="W523" s="72">
        <v>0.1840277777777778</v>
      </c>
      <c r="X523" s="73" t="s">
        <v>90</v>
      </c>
      <c r="Y523" s="74"/>
    </row>
    <row r="524">
      <c r="A524" s="41">
        <v>512.0</v>
      </c>
      <c r="B524" s="42" t="s">
        <v>66</v>
      </c>
      <c r="C524" s="99" t="s">
        <v>384</v>
      </c>
      <c r="D524" s="24" t="s">
        <v>32</v>
      </c>
      <c r="E524" s="24">
        <v>4943.0</v>
      </c>
      <c r="F524" s="24">
        <v>259.0</v>
      </c>
      <c r="G524" s="24">
        <v>0.0</v>
      </c>
      <c r="H524" s="24">
        <v>0.0</v>
      </c>
      <c r="I524" s="24">
        <v>231.0</v>
      </c>
      <c r="J524" s="24">
        <v>182.0</v>
      </c>
      <c r="K524" s="24">
        <v>71.0</v>
      </c>
      <c r="L524" s="24" t="s">
        <v>71</v>
      </c>
      <c r="M524" s="24">
        <v>26.0</v>
      </c>
      <c r="N524" s="24">
        <v>139.0</v>
      </c>
      <c r="O524" s="24">
        <v>75.0</v>
      </c>
      <c r="P524" s="24">
        <v>0.0</v>
      </c>
      <c r="Q524" s="24">
        <v>12.0</v>
      </c>
      <c r="R524" s="24">
        <v>0.0</v>
      </c>
      <c r="S524" s="24">
        <v>0.0</v>
      </c>
      <c r="T524" s="24" t="s">
        <v>37</v>
      </c>
      <c r="U524" s="45"/>
      <c r="V524" s="103" t="s">
        <v>76</v>
      </c>
      <c r="W524" s="104">
        <v>0.08055555555555556</v>
      </c>
      <c r="X524" s="67" t="s">
        <v>90</v>
      </c>
      <c r="Y524" s="48"/>
    </row>
    <row r="525">
      <c r="A525" s="68">
        <v>513.0</v>
      </c>
      <c r="B525" s="69" t="s">
        <v>242</v>
      </c>
      <c r="C525" s="70" t="s">
        <v>385</v>
      </c>
      <c r="D525" s="35" t="s">
        <v>32</v>
      </c>
      <c r="E525" s="35">
        <v>1971.0</v>
      </c>
      <c r="F525" s="35">
        <v>66.0</v>
      </c>
      <c r="G525" s="35">
        <v>537.0</v>
      </c>
      <c r="H525" s="35">
        <v>0.0</v>
      </c>
      <c r="I525" s="35">
        <v>0.0</v>
      </c>
      <c r="J525" s="35">
        <v>96.0</v>
      </c>
      <c r="K525" s="35">
        <v>43.0</v>
      </c>
      <c r="L525" s="35" t="s">
        <v>29</v>
      </c>
      <c r="M525" s="35">
        <v>16.0</v>
      </c>
      <c r="N525" s="35">
        <v>197.0</v>
      </c>
      <c r="O525" s="35">
        <v>90.0</v>
      </c>
      <c r="P525" s="35">
        <v>0.0</v>
      </c>
      <c r="Q525" s="35">
        <v>7.0</v>
      </c>
      <c r="R525" s="35">
        <v>243.0</v>
      </c>
      <c r="S525" s="35">
        <v>2.0</v>
      </c>
      <c r="T525" s="35" t="s">
        <v>37</v>
      </c>
      <c r="U525" s="71"/>
      <c r="V525" s="35" t="s">
        <v>76</v>
      </c>
      <c r="W525" s="72">
        <v>0.017361111111111112</v>
      </c>
      <c r="X525" s="73" t="s">
        <v>90</v>
      </c>
      <c r="Y525" s="74"/>
    </row>
    <row r="526" ht="15.75" customHeight="1">
      <c r="A526" s="41">
        <v>514.0</v>
      </c>
      <c r="B526" s="42" t="s">
        <v>52</v>
      </c>
      <c r="C526" s="99" t="s">
        <v>386</v>
      </c>
      <c r="D526" s="24" t="s">
        <v>28</v>
      </c>
      <c r="E526" s="24">
        <v>3644.0</v>
      </c>
      <c r="F526" s="24">
        <v>167.0</v>
      </c>
      <c r="G526" s="24">
        <v>0.0</v>
      </c>
      <c r="H526" s="24">
        <v>0.0</v>
      </c>
      <c r="I526" s="24">
        <v>334.0</v>
      </c>
      <c r="J526" s="24">
        <v>191.0</v>
      </c>
      <c r="K526" s="24">
        <v>106.0</v>
      </c>
      <c r="L526" s="24" t="s">
        <v>29</v>
      </c>
      <c r="M526" s="24">
        <v>32.0</v>
      </c>
      <c r="N526" s="24">
        <v>168.0</v>
      </c>
      <c r="O526" s="24">
        <v>70.0</v>
      </c>
      <c r="P526" s="24">
        <v>102.0</v>
      </c>
      <c r="Q526" s="24">
        <v>10.0</v>
      </c>
      <c r="R526" s="24">
        <v>0.0</v>
      </c>
      <c r="S526" s="24">
        <v>0.0</v>
      </c>
      <c r="T526" s="24" t="s">
        <v>37</v>
      </c>
      <c r="U526" s="45"/>
      <c r="V526" s="24" t="s">
        <v>76</v>
      </c>
      <c r="W526" s="66">
        <v>0.052083333333333336</v>
      </c>
      <c r="X526" s="67" t="s">
        <v>90</v>
      </c>
      <c r="Y526" s="48"/>
    </row>
    <row r="527">
      <c r="A527" s="68">
        <v>515.0</v>
      </c>
      <c r="B527" s="69" t="s">
        <v>27</v>
      </c>
      <c r="C527" s="70" t="s">
        <v>387</v>
      </c>
      <c r="D527" s="35" t="s">
        <v>28</v>
      </c>
      <c r="E527" s="35">
        <v>2167.0</v>
      </c>
      <c r="F527" s="35">
        <v>85.0</v>
      </c>
      <c r="G527" s="35">
        <v>293.0</v>
      </c>
      <c r="H527" s="35">
        <v>0.0</v>
      </c>
      <c r="I527" s="35">
        <v>182.0</v>
      </c>
      <c r="J527" s="35">
        <v>212.0</v>
      </c>
      <c r="K527" s="35">
        <v>206.0</v>
      </c>
      <c r="L527" s="35" t="s">
        <v>29</v>
      </c>
      <c r="M527" s="35">
        <v>42.0</v>
      </c>
      <c r="N527" s="35">
        <v>231.0</v>
      </c>
      <c r="O527" s="35">
        <v>48.0</v>
      </c>
      <c r="P527" s="35">
        <v>218.0</v>
      </c>
      <c r="Q527" s="35">
        <v>9.0</v>
      </c>
      <c r="R527" s="35">
        <v>0.0</v>
      </c>
      <c r="S527" s="35">
        <v>0.0</v>
      </c>
      <c r="T527" s="35" t="s">
        <v>37</v>
      </c>
      <c r="U527" s="71"/>
      <c r="V527" s="35" t="s">
        <v>76</v>
      </c>
      <c r="W527" s="97"/>
      <c r="X527" s="73" t="s">
        <v>90</v>
      </c>
      <c r="Y527" s="74"/>
    </row>
    <row r="528">
      <c r="A528" s="41">
        <v>516.0</v>
      </c>
      <c r="B528" s="42" t="s">
        <v>95</v>
      </c>
      <c r="C528" s="99" t="s">
        <v>388</v>
      </c>
      <c r="D528" s="24" t="s">
        <v>28</v>
      </c>
      <c r="E528" s="24">
        <v>6037.0</v>
      </c>
      <c r="F528" s="24">
        <v>0.0</v>
      </c>
      <c r="G528" s="24">
        <v>0.0</v>
      </c>
      <c r="H528" s="24">
        <v>410.0</v>
      </c>
      <c r="I528" s="24">
        <v>305.0</v>
      </c>
      <c r="J528" s="24">
        <v>118.0</v>
      </c>
      <c r="K528" s="24">
        <v>56.0</v>
      </c>
      <c r="L528" s="24" t="s">
        <v>71</v>
      </c>
      <c r="M528" s="24">
        <v>32.0</v>
      </c>
      <c r="N528" s="24">
        <v>97.0</v>
      </c>
      <c r="O528" s="24">
        <v>93.0</v>
      </c>
      <c r="P528" s="24">
        <v>0.0</v>
      </c>
      <c r="Q528" s="24">
        <v>12.0</v>
      </c>
      <c r="R528" s="24">
        <v>0.0</v>
      </c>
      <c r="S528" s="24">
        <v>0.0</v>
      </c>
      <c r="T528" s="24" t="s">
        <v>37</v>
      </c>
      <c r="U528" s="45"/>
      <c r="V528" s="24" t="s">
        <v>76</v>
      </c>
      <c r="W528" s="46"/>
      <c r="X528" s="67" t="s">
        <v>389</v>
      </c>
      <c r="Y528" s="48"/>
    </row>
    <row r="529">
      <c r="A529" s="68">
        <v>517.0</v>
      </c>
      <c r="B529" s="69" t="s">
        <v>27</v>
      </c>
      <c r="C529" s="70" t="s">
        <v>390</v>
      </c>
      <c r="D529" s="35" t="s">
        <v>32</v>
      </c>
      <c r="E529" s="35">
        <v>2293.0</v>
      </c>
      <c r="F529" s="35">
        <v>75.0</v>
      </c>
      <c r="G529" s="35">
        <v>563.0</v>
      </c>
      <c r="H529" s="35">
        <v>0.0</v>
      </c>
      <c r="I529" s="35">
        <v>164.0</v>
      </c>
      <c r="J529" s="35">
        <v>226.0</v>
      </c>
      <c r="K529" s="35">
        <v>246.0</v>
      </c>
      <c r="L529" s="35" t="s">
        <v>29</v>
      </c>
      <c r="M529" s="35">
        <v>42.0</v>
      </c>
      <c r="N529" s="35">
        <v>225.0</v>
      </c>
      <c r="O529" s="35">
        <v>51.0</v>
      </c>
      <c r="P529" s="35">
        <v>184.0</v>
      </c>
      <c r="Q529" s="35">
        <v>10.0</v>
      </c>
      <c r="R529" s="35">
        <v>0.0</v>
      </c>
      <c r="S529" s="35">
        <v>0.0</v>
      </c>
      <c r="T529" s="35" t="s">
        <v>143</v>
      </c>
      <c r="U529" s="71"/>
      <c r="V529" s="35" t="s">
        <v>76</v>
      </c>
      <c r="W529" s="82">
        <v>0.01875</v>
      </c>
      <c r="X529" s="73" t="s">
        <v>146</v>
      </c>
      <c r="Y529" s="74"/>
    </row>
    <row r="530">
      <c r="A530" s="41">
        <v>518.0</v>
      </c>
      <c r="B530" s="42" t="s">
        <v>27</v>
      </c>
      <c r="C530" s="99" t="s">
        <v>391</v>
      </c>
      <c r="D530" s="24" t="s">
        <v>32</v>
      </c>
      <c r="E530" s="24">
        <v>2458.0</v>
      </c>
      <c r="F530" s="24">
        <v>139.0</v>
      </c>
      <c r="G530" s="24">
        <v>383.0</v>
      </c>
      <c r="H530" s="24">
        <v>0.0</v>
      </c>
      <c r="I530" s="24">
        <v>236.0</v>
      </c>
      <c r="J530" s="24">
        <v>232.0</v>
      </c>
      <c r="K530" s="24">
        <v>230.0</v>
      </c>
      <c r="L530" s="24" t="s">
        <v>29</v>
      </c>
      <c r="M530" s="24">
        <v>40.0</v>
      </c>
      <c r="N530" s="24">
        <v>235.0</v>
      </c>
      <c r="O530" s="24">
        <v>75.0</v>
      </c>
      <c r="P530" s="24">
        <v>224.0</v>
      </c>
      <c r="Q530" s="24">
        <v>10.0</v>
      </c>
      <c r="R530" s="24">
        <v>0.0</v>
      </c>
      <c r="S530" s="24">
        <v>0.0</v>
      </c>
      <c r="T530" s="24" t="s">
        <v>37</v>
      </c>
      <c r="U530" s="45"/>
      <c r="V530" s="24" t="s">
        <v>76</v>
      </c>
      <c r="W530" s="66">
        <v>0.02013888888888889</v>
      </c>
      <c r="X530" s="67" t="s">
        <v>392</v>
      </c>
      <c r="Y530" s="48"/>
    </row>
    <row r="531">
      <c r="A531" s="68">
        <v>519.0</v>
      </c>
      <c r="B531" s="69" t="s">
        <v>242</v>
      </c>
      <c r="C531" s="70" t="s">
        <v>393</v>
      </c>
      <c r="D531" s="35" t="s">
        <v>28</v>
      </c>
      <c r="E531" s="35">
        <v>2518.0</v>
      </c>
      <c r="F531" s="35">
        <v>115.0</v>
      </c>
      <c r="G531" s="35">
        <v>505.0</v>
      </c>
      <c r="H531" s="35">
        <v>0.0</v>
      </c>
      <c r="I531" s="35">
        <v>0.0</v>
      </c>
      <c r="J531" s="35">
        <v>93.0</v>
      </c>
      <c r="K531" s="35">
        <v>38.0</v>
      </c>
      <c r="L531" s="35" t="s">
        <v>29</v>
      </c>
      <c r="M531" s="35">
        <v>13.0</v>
      </c>
      <c r="N531" s="35">
        <v>198.0</v>
      </c>
      <c r="O531" s="35">
        <v>69.0</v>
      </c>
      <c r="P531" s="35">
        <v>0.0</v>
      </c>
      <c r="Q531" s="35">
        <v>6.0</v>
      </c>
      <c r="R531" s="35">
        <v>263.0</v>
      </c>
      <c r="S531" s="35">
        <v>2.0</v>
      </c>
      <c r="T531" s="35" t="s">
        <v>37</v>
      </c>
      <c r="U531" s="71"/>
      <c r="V531" s="35" t="s">
        <v>76</v>
      </c>
      <c r="W531" s="72">
        <v>0.01597222222222222</v>
      </c>
      <c r="X531" s="73" t="s">
        <v>392</v>
      </c>
      <c r="Y531" s="74"/>
    </row>
    <row r="532">
      <c r="A532" s="41">
        <v>520.0</v>
      </c>
      <c r="B532" s="42" t="s">
        <v>95</v>
      </c>
      <c r="C532" s="99" t="s">
        <v>394</v>
      </c>
      <c r="D532" s="24" t="s">
        <v>32</v>
      </c>
      <c r="E532" s="24">
        <v>6223.0</v>
      </c>
      <c r="F532" s="24">
        <v>0.0</v>
      </c>
      <c r="G532" s="24">
        <v>0.0</v>
      </c>
      <c r="H532" s="24">
        <v>424.0</v>
      </c>
      <c r="I532" s="24">
        <v>316.0</v>
      </c>
      <c r="J532" s="24">
        <v>121.0</v>
      </c>
      <c r="K532" s="24">
        <v>56.0</v>
      </c>
      <c r="L532" s="24" t="s">
        <v>71</v>
      </c>
      <c r="M532" s="24">
        <v>32.0</v>
      </c>
      <c r="N532" s="24">
        <v>96.0</v>
      </c>
      <c r="O532" s="24">
        <v>75.0</v>
      </c>
      <c r="P532" s="24">
        <v>0.0</v>
      </c>
      <c r="Q532" s="24">
        <v>13.0</v>
      </c>
      <c r="R532" s="24">
        <v>0.0</v>
      </c>
      <c r="S532" s="24">
        <v>0.0</v>
      </c>
      <c r="T532" s="24" t="s">
        <v>143</v>
      </c>
      <c r="U532" s="45"/>
      <c r="V532" s="24" t="s">
        <v>76</v>
      </c>
      <c r="W532" s="46"/>
      <c r="X532" s="47"/>
      <c r="Y532" s="48"/>
    </row>
    <row r="533">
      <c r="A533" s="68" t="s">
        <v>395</v>
      </c>
      <c r="B533" s="69" t="s">
        <v>95</v>
      </c>
      <c r="C533" s="80" t="s">
        <v>396</v>
      </c>
      <c r="D533" s="35" t="s">
        <v>32</v>
      </c>
      <c r="E533" s="35">
        <v>5794.0</v>
      </c>
      <c r="F533" s="35">
        <v>0.0</v>
      </c>
      <c r="G533" s="35">
        <v>0.0</v>
      </c>
      <c r="H533" s="35">
        <v>429.0</v>
      </c>
      <c r="I533" s="35">
        <v>316.0</v>
      </c>
      <c r="J533" s="35">
        <v>140.0</v>
      </c>
      <c r="K533" s="35">
        <v>60.0</v>
      </c>
      <c r="L533" s="35" t="s">
        <v>71</v>
      </c>
      <c r="M533" s="35">
        <v>34.0</v>
      </c>
      <c r="N533" s="35">
        <v>91.0</v>
      </c>
      <c r="O533" s="35">
        <v>36.0</v>
      </c>
      <c r="P533" s="35">
        <v>0.0</v>
      </c>
      <c r="Q533" s="35">
        <v>14.0</v>
      </c>
      <c r="R533" s="35">
        <v>0.0</v>
      </c>
      <c r="S533" s="35">
        <v>0.0</v>
      </c>
      <c r="T533" s="35" t="s">
        <v>397</v>
      </c>
      <c r="U533" s="71"/>
      <c r="V533" s="35" t="s">
        <v>398</v>
      </c>
      <c r="W533" s="97"/>
      <c r="X533" s="73"/>
      <c r="Y533" s="74"/>
    </row>
    <row r="534" ht="15.75" customHeight="1">
      <c r="A534" s="41" t="s">
        <v>399</v>
      </c>
      <c r="B534" s="42" t="s">
        <v>95</v>
      </c>
      <c r="C534" s="99" t="s">
        <v>400</v>
      </c>
      <c r="D534" s="24" t="s">
        <v>32</v>
      </c>
      <c r="E534" s="24">
        <v>6459.0</v>
      </c>
      <c r="F534" s="24">
        <v>0.0</v>
      </c>
      <c r="G534" s="24">
        <v>0.0</v>
      </c>
      <c r="H534" s="24">
        <v>425.0</v>
      </c>
      <c r="I534" s="24">
        <v>325.0</v>
      </c>
      <c r="J534" s="24">
        <v>116.0</v>
      </c>
      <c r="K534" s="24">
        <v>53.0</v>
      </c>
      <c r="L534" s="24" t="s">
        <v>71</v>
      </c>
      <c r="M534" s="24">
        <v>31.0</v>
      </c>
      <c r="N534" s="24">
        <v>105.0</v>
      </c>
      <c r="O534" s="24">
        <v>87.0</v>
      </c>
      <c r="P534" s="24">
        <v>0.0</v>
      </c>
      <c r="Q534" s="24">
        <v>14.0</v>
      </c>
      <c r="R534" s="24">
        <v>0.0</v>
      </c>
      <c r="S534" s="24">
        <v>0.0</v>
      </c>
      <c r="T534" s="24" t="s">
        <v>397</v>
      </c>
      <c r="U534" s="45"/>
      <c r="V534" s="24" t="s">
        <v>398</v>
      </c>
      <c r="W534" s="46"/>
      <c r="X534" s="47"/>
      <c r="Y534" s="48"/>
    </row>
    <row r="535">
      <c r="A535" s="68" t="s">
        <v>401</v>
      </c>
      <c r="B535" s="69" t="s">
        <v>52</v>
      </c>
      <c r="C535" s="70" t="s">
        <v>402</v>
      </c>
      <c r="D535" s="35" t="s">
        <v>32</v>
      </c>
      <c r="E535" s="35">
        <v>4246.0</v>
      </c>
      <c r="F535" s="35">
        <v>177.0</v>
      </c>
      <c r="G535" s="35">
        <v>0.0</v>
      </c>
      <c r="H535" s="35">
        <v>0.0</v>
      </c>
      <c r="I535" s="35">
        <v>419.0</v>
      </c>
      <c r="J535" s="35">
        <v>198.0</v>
      </c>
      <c r="K535" s="35">
        <v>97.0</v>
      </c>
      <c r="L535" s="35" t="s">
        <v>29</v>
      </c>
      <c r="M535" s="35">
        <v>33.0</v>
      </c>
      <c r="N535" s="35">
        <v>187.0</v>
      </c>
      <c r="O535" s="35">
        <v>33.0</v>
      </c>
      <c r="P535" s="35">
        <v>158.0</v>
      </c>
      <c r="Q535" s="35">
        <v>12.0</v>
      </c>
      <c r="R535" s="35">
        <v>0.0</v>
      </c>
      <c r="S535" s="35">
        <v>0.0</v>
      </c>
      <c r="T535" s="35" t="s">
        <v>397</v>
      </c>
      <c r="U535" s="71"/>
      <c r="V535" s="35" t="s">
        <v>398</v>
      </c>
      <c r="W535" s="97"/>
      <c r="X535" s="95"/>
      <c r="Y535" s="74"/>
    </row>
    <row r="536">
      <c r="A536" s="41" t="s">
        <v>403</v>
      </c>
      <c r="B536" s="42" t="s">
        <v>95</v>
      </c>
      <c r="C536" s="99" t="s">
        <v>404</v>
      </c>
      <c r="D536" s="24" t="s">
        <v>32</v>
      </c>
      <c r="E536" s="24">
        <v>5362.0</v>
      </c>
      <c r="F536" s="24">
        <v>0.0</v>
      </c>
      <c r="G536" s="24">
        <v>0.0</v>
      </c>
      <c r="H536" s="24">
        <v>425.0</v>
      </c>
      <c r="I536" s="24">
        <v>313.0</v>
      </c>
      <c r="J536" s="24">
        <v>136.0</v>
      </c>
      <c r="K536" s="24">
        <v>50.0</v>
      </c>
      <c r="L536" s="24" t="s">
        <v>71</v>
      </c>
      <c r="M536" s="24">
        <v>34.0</v>
      </c>
      <c r="N536" s="24">
        <v>104.0</v>
      </c>
      <c r="O536" s="24">
        <v>36.0</v>
      </c>
      <c r="P536" s="24">
        <v>0.0</v>
      </c>
      <c r="Q536" s="24">
        <v>14.0</v>
      </c>
      <c r="R536" s="24">
        <v>0.0</v>
      </c>
      <c r="S536" s="24">
        <v>0.0</v>
      </c>
      <c r="T536" s="24" t="s">
        <v>397</v>
      </c>
      <c r="U536" s="45"/>
      <c r="V536" s="24" t="s">
        <v>398</v>
      </c>
      <c r="W536" s="46"/>
      <c r="X536" s="67"/>
      <c r="Y536" s="48"/>
    </row>
    <row r="537">
      <c r="A537" s="68" t="s">
        <v>405</v>
      </c>
      <c r="B537" s="69" t="s">
        <v>82</v>
      </c>
      <c r="C537" s="70" t="s">
        <v>406</v>
      </c>
      <c r="D537" s="35" t="s">
        <v>28</v>
      </c>
      <c r="E537" s="35">
        <v>7421.0</v>
      </c>
      <c r="F537" s="35">
        <v>405.0</v>
      </c>
      <c r="G537" s="35">
        <v>0.0</v>
      </c>
      <c r="H537" s="35">
        <v>0.0</v>
      </c>
      <c r="I537" s="35">
        <v>238.0</v>
      </c>
      <c r="J537" s="35">
        <v>143.0</v>
      </c>
      <c r="K537" s="35">
        <v>32.0</v>
      </c>
      <c r="L537" s="35" t="s">
        <v>83</v>
      </c>
      <c r="M537" s="35">
        <v>23.0</v>
      </c>
      <c r="N537" s="35">
        <v>67.0</v>
      </c>
      <c r="O537" s="35">
        <v>13.0</v>
      </c>
      <c r="P537" s="35">
        <v>0.0</v>
      </c>
      <c r="Q537" s="35">
        <v>14.0</v>
      </c>
      <c r="R537" s="35">
        <v>0.0</v>
      </c>
      <c r="S537" s="35">
        <v>0.0</v>
      </c>
      <c r="T537" s="35" t="s">
        <v>397</v>
      </c>
      <c r="U537" s="71"/>
      <c r="V537" s="35" t="s">
        <v>407</v>
      </c>
      <c r="W537" s="97"/>
      <c r="X537" s="73"/>
      <c r="Y537" s="74"/>
    </row>
    <row r="538">
      <c r="A538" s="77" t="s">
        <v>408</v>
      </c>
      <c r="B538" s="78" t="s">
        <v>52</v>
      </c>
      <c r="C538" s="79" t="str">
        <f>HYPERLINK("https://azurlane.koumakan.jp/HDN_Neptune","Neptune (Neptunia)")</f>
        <v>Neptune (Neptunia)</v>
      </c>
      <c r="D538" s="26" t="s">
        <v>28</v>
      </c>
      <c r="E538" s="22">
        <v>3509.0</v>
      </c>
      <c r="F538" s="22">
        <v>154.0</v>
      </c>
      <c r="G538" s="22">
        <v>293.0</v>
      </c>
      <c r="H538" s="22">
        <v>0.0</v>
      </c>
      <c r="I538" s="22">
        <v>308.0</v>
      </c>
      <c r="J538" s="22">
        <v>174.0</v>
      </c>
      <c r="K538" s="22">
        <v>118.0</v>
      </c>
      <c r="L538" s="22" t="s">
        <v>29</v>
      </c>
      <c r="M538" s="22">
        <v>31.0</v>
      </c>
      <c r="N538" s="22">
        <v>162.0</v>
      </c>
      <c r="O538" s="22">
        <v>73.0</v>
      </c>
      <c r="P538" s="22">
        <v>123.0</v>
      </c>
      <c r="Q538" s="22">
        <v>10.0</v>
      </c>
      <c r="R538" s="22">
        <v>0.0</v>
      </c>
      <c r="S538" s="22">
        <v>0.0</v>
      </c>
      <c r="T538" s="24" t="s">
        <v>409</v>
      </c>
      <c r="U538" s="58"/>
      <c r="V538" s="26" t="s">
        <v>76</v>
      </c>
      <c r="W538" s="65"/>
      <c r="X538" s="28" t="s">
        <v>410</v>
      </c>
      <c r="Y538" s="29"/>
    </row>
    <row r="539">
      <c r="A539" s="49" t="s">
        <v>411</v>
      </c>
      <c r="B539" s="50" t="s">
        <v>66</v>
      </c>
      <c r="C539" s="51" t="str">
        <f>HYPERLINK("https://azurlane.koumakan.jp/Noire","Noire")</f>
        <v>Noire</v>
      </c>
      <c r="D539" s="37" t="s">
        <v>28</v>
      </c>
      <c r="E539" s="33">
        <v>3916.0</v>
      </c>
      <c r="F539" s="33">
        <v>240.0</v>
      </c>
      <c r="G539" s="33">
        <v>202.0</v>
      </c>
      <c r="H539" s="33">
        <v>0.0</v>
      </c>
      <c r="I539" s="33">
        <v>181.0</v>
      </c>
      <c r="J539" s="33">
        <v>167.0</v>
      </c>
      <c r="K539" s="33">
        <v>68.0</v>
      </c>
      <c r="L539" s="33" t="s">
        <v>71</v>
      </c>
      <c r="M539" s="33">
        <v>27.0</v>
      </c>
      <c r="N539" s="33">
        <v>131.0</v>
      </c>
      <c r="O539" s="33">
        <v>83.0</v>
      </c>
      <c r="P539" s="33">
        <v>0.0</v>
      </c>
      <c r="Q539" s="33">
        <v>11.0</v>
      </c>
      <c r="R539" s="33">
        <v>0.0</v>
      </c>
      <c r="S539" s="33">
        <v>0.0</v>
      </c>
      <c r="T539" s="35" t="s">
        <v>409</v>
      </c>
      <c r="U539" s="57"/>
      <c r="V539" s="37" t="s">
        <v>76</v>
      </c>
      <c r="W539" s="38">
        <v>0.10972222222222222</v>
      </c>
      <c r="X539" s="39" t="s">
        <v>412</v>
      </c>
      <c r="Y539" s="40"/>
    </row>
    <row r="540">
      <c r="A540" s="77" t="s">
        <v>413</v>
      </c>
      <c r="B540" s="78" t="s">
        <v>27</v>
      </c>
      <c r="C540" s="79" t="str">
        <f>HYPERLINK("https://azurlane.koumakan.jp/Blanc","Blanc")</f>
        <v>Blanc</v>
      </c>
      <c r="D540" s="26" t="s">
        <v>28</v>
      </c>
      <c r="E540" s="22">
        <v>1844.0</v>
      </c>
      <c r="F540" s="22">
        <v>70.0</v>
      </c>
      <c r="G540" s="22">
        <v>444.0</v>
      </c>
      <c r="H540" s="22">
        <v>0.0</v>
      </c>
      <c r="I540" s="22">
        <v>151.0</v>
      </c>
      <c r="J540" s="22">
        <v>209.0</v>
      </c>
      <c r="K540" s="22">
        <v>225.0</v>
      </c>
      <c r="L540" s="22" t="s">
        <v>29</v>
      </c>
      <c r="M540" s="22">
        <v>45.0</v>
      </c>
      <c r="N540" s="22">
        <v>212.0</v>
      </c>
      <c r="O540" s="22">
        <v>71.0</v>
      </c>
      <c r="P540" s="22">
        <v>202.0</v>
      </c>
      <c r="Q540" s="22">
        <v>9.0</v>
      </c>
      <c r="R540" s="22">
        <v>0.0</v>
      </c>
      <c r="S540" s="22">
        <v>0.0</v>
      </c>
      <c r="T540" s="24" t="s">
        <v>409</v>
      </c>
      <c r="U540" s="58"/>
      <c r="V540" s="26" t="s">
        <v>76</v>
      </c>
      <c r="W540" s="27">
        <v>0.1</v>
      </c>
      <c r="X540" s="28" t="s">
        <v>412</v>
      </c>
      <c r="Y540" s="29"/>
    </row>
    <row r="541" ht="15.75" customHeight="1">
      <c r="A541" s="49" t="s">
        <v>414</v>
      </c>
      <c r="B541" s="50" t="s">
        <v>95</v>
      </c>
      <c r="C541" s="51" t="str">
        <f>HYPERLINK("https://azurlane.koumakan.jp/Vert","Vert")</f>
        <v>Vert</v>
      </c>
      <c r="D541" s="37" t="s">
        <v>28</v>
      </c>
      <c r="E541" s="33">
        <v>5652.0</v>
      </c>
      <c r="F541" s="33">
        <v>0.0</v>
      </c>
      <c r="G541" s="33">
        <v>0.0</v>
      </c>
      <c r="H541" s="33">
        <v>382.0</v>
      </c>
      <c r="I541" s="33">
        <v>294.0</v>
      </c>
      <c r="J541" s="33">
        <v>112.0</v>
      </c>
      <c r="K541" s="33">
        <v>49.0</v>
      </c>
      <c r="L541" s="33" t="s">
        <v>71</v>
      </c>
      <c r="M541" s="33">
        <v>28.0</v>
      </c>
      <c r="N541" s="33">
        <v>91.0</v>
      </c>
      <c r="O541" s="33">
        <v>93.0</v>
      </c>
      <c r="P541" s="33">
        <v>0.0</v>
      </c>
      <c r="Q541" s="33">
        <v>12.0</v>
      </c>
      <c r="R541" s="33">
        <v>0.0</v>
      </c>
      <c r="S541" s="33">
        <v>0.0</v>
      </c>
      <c r="T541" s="35" t="s">
        <v>409</v>
      </c>
      <c r="U541" s="57"/>
      <c r="V541" s="37" t="s">
        <v>76</v>
      </c>
      <c r="W541" s="52"/>
      <c r="X541" s="39" t="s">
        <v>415</v>
      </c>
      <c r="Y541" s="40"/>
    </row>
    <row r="542">
      <c r="A542" s="77" t="s">
        <v>416</v>
      </c>
      <c r="B542" s="78" t="s">
        <v>52</v>
      </c>
      <c r="C542" s="79" t="str">
        <f>HYPERLINK("https://azurlane.koumakan.jp/Purple_Heart","Purple Heart")</f>
        <v>Purple Heart</v>
      </c>
      <c r="D542" s="26" t="s">
        <v>32</v>
      </c>
      <c r="E542" s="22">
        <v>3779.0</v>
      </c>
      <c r="F542" s="22">
        <v>168.0</v>
      </c>
      <c r="G542" s="22">
        <v>313.0</v>
      </c>
      <c r="H542" s="22">
        <v>0.0</v>
      </c>
      <c r="I542" s="22">
        <v>319.0</v>
      </c>
      <c r="J542" s="22">
        <v>181.0</v>
      </c>
      <c r="K542" s="22">
        <v>120.0</v>
      </c>
      <c r="L542" s="22" t="s">
        <v>29</v>
      </c>
      <c r="M542" s="22">
        <v>31.0</v>
      </c>
      <c r="N542" s="22">
        <v>162.0</v>
      </c>
      <c r="O542" s="22">
        <v>87.0</v>
      </c>
      <c r="P542" s="22">
        <v>130.0</v>
      </c>
      <c r="Q542" s="22">
        <v>11.0</v>
      </c>
      <c r="R542" s="22">
        <v>0.0</v>
      </c>
      <c r="S542" s="22">
        <v>0.0</v>
      </c>
      <c r="T542" s="24" t="s">
        <v>409</v>
      </c>
      <c r="U542" s="58"/>
      <c r="V542" s="26" t="s">
        <v>76</v>
      </c>
      <c r="W542" s="27">
        <v>0.11388888888888889</v>
      </c>
      <c r="X542" s="28" t="s">
        <v>412</v>
      </c>
      <c r="Y542" s="29"/>
    </row>
    <row r="543">
      <c r="A543" s="49" t="s">
        <v>417</v>
      </c>
      <c r="B543" s="50" t="s">
        <v>66</v>
      </c>
      <c r="C543" s="51" t="str">
        <f>HYPERLINK("https://azurlane.koumakan.jp/Black_Heart","Black Heart")</f>
        <v>Black Heart</v>
      </c>
      <c r="D543" s="37" t="s">
        <v>32</v>
      </c>
      <c r="E543" s="33">
        <v>4155.0</v>
      </c>
      <c r="F543" s="33">
        <v>253.0</v>
      </c>
      <c r="G543" s="33">
        <v>221.0</v>
      </c>
      <c r="H543" s="33">
        <v>0.0</v>
      </c>
      <c r="I543" s="33">
        <v>197.0</v>
      </c>
      <c r="J543" s="33">
        <v>171.0</v>
      </c>
      <c r="K543" s="33">
        <v>70.0</v>
      </c>
      <c r="L543" s="33" t="s">
        <v>71</v>
      </c>
      <c r="M543" s="33">
        <v>27.0</v>
      </c>
      <c r="N543" s="33">
        <v>131.0</v>
      </c>
      <c r="O543" s="33">
        <v>83.0</v>
      </c>
      <c r="P543" s="33">
        <v>0.0</v>
      </c>
      <c r="Q543" s="33">
        <v>12.0</v>
      </c>
      <c r="R543" s="33">
        <v>0.0</v>
      </c>
      <c r="S543" s="33">
        <v>0.0</v>
      </c>
      <c r="T543" s="35" t="s">
        <v>409</v>
      </c>
      <c r="U543" s="57"/>
      <c r="V543" s="37" t="s">
        <v>76</v>
      </c>
      <c r="W543" s="38">
        <v>0.1111111111111111</v>
      </c>
      <c r="X543" s="39" t="s">
        <v>412</v>
      </c>
      <c r="Y543" s="40"/>
    </row>
    <row r="544">
      <c r="A544" s="77" t="s">
        <v>418</v>
      </c>
      <c r="B544" s="78" t="s">
        <v>27</v>
      </c>
      <c r="C544" s="79" t="str">
        <f>HYPERLINK("https://azurlane.koumakan.jp/White_Heart","White Heart")</f>
        <v>White Heart</v>
      </c>
      <c r="D544" s="26" t="s">
        <v>32</v>
      </c>
      <c r="E544" s="22">
        <v>1993.0</v>
      </c>
      <c r="F544" s="22">
        <v>75.0</v>
      </c>
      <c r="G544" s="22">
        <v>481.0</v>
      </c>
      <c r="H544" s="22">
        <v>0.0</v>
      </c>
      <c r="I544" s="22">
        <v>157.0</v>
      </c>
      <c r="J544" s="22">
        <v>218.0</v>
      </c>
      <c r="K544" s="22">
        <v>230.0</v>
      </c>
      <c r="L544" s="22" t="s">
        <v>29</v>
      </c>
      <c r="M544" s="22">
        <v>45.0</v>
      </c>
      <c r="N544" s="22">
        <v>212.0</v>
      </c>
      <c r="O544" s="22">
        <v>73.0</v>
      </c>
      <c r="P544" s="22">
        <v>208.0</v>
      </c>
      <c r="Q544" s="22">
        <v>10.0</v>
      </c>
      <c r="R544" s="22">
        <v>0.0</v>
      </c>
      <c r="S544" s="22">
        <v>0.0</v>
      </c>
      <c r="T544" s="24" t="s">
        <v>409</v>
      </c>
      <c r="U544" s="58"/>
      <c r="V544" s="26" t="s">
        <v>76</v>
      </c>
      <c r="W544" s="27">
        <v>0.10138888888888889</v>
      </c>
      <c r="X544" s="28" t="s">
        <v>412</v>
      </c>
      <c r="Y544" s="29"/>
    </row>
    <row r="545">
      <c r="A545" s="49" t="s">
        <v>419</v>
      </c>
      <c r="B545" s="50" t="s">
        <v>95</v>
      </c>
      <c r="C545" s="51" t="str">
        <f>HYPERLINK("https://azurlane.koumakan.jp/Green_Heart","Green Heart")</f>
        <v>Green Heart</v>
      </c>
      <c r="D545" s="37" t="s">
        <v>32</v>
      </c>
      <c r="E545" s="33">
        <v>5917.0</v>
      </c>
      <c r="F545" s="33">
        <v>0.0</v>
      </c>
      <c r="G545" s="33">
        <v>0.0</v>
      </c>
      <c r="H545" s="33">
        <v>400.0</v>
      </c>
      <c r="I545" s="33">
        <v>305.0</v>
      </c>
      <c r="J545" s="33">
        <v>116.0</v>
      </c>
      <c r="K545" s="33">
        <v>56.0</v>
      </c>
      <c r="L545" s="33" t="s">
        <v>71</v>
      </c>
      <c r="M545" s="33">
        <v>28.0</v>
      </c>
      <c r="N545" s="33">
        <v>91.0</v>
      </c>
      <c r="O545" s="33">
        <v>95.0</v>
      </c>
      <c r="P545" s="33">
        <v>0.0</v>
      </c>
      <c r="Q545" s="33">
        <v>13.0</v>
      </c>
      <c r="R545" s="33">
        <v>0.0</v>
      </c>
      <c r="S545" s="33">
        <v>0.0</v>
      </c>
      <c r="T545" s="35" t="s">
        <v>409</v>
      </c>
      <c r="U545" s="57"/>
      <c r="V545" s="37" t="s">
        <v>76</v>
      </c>
      <c r="W545" s="38">
        <v>0.11597222222222223</v>
      </c>
      <c r="X545" s="39" t="s">
        <v>412</v>
      </c>
      <c r="Y545" s="40"/>
    </row>
    <row r="546">
      <c r="A546" s="77" t="s">
        <v>420</v>
      </c>
      <c r="B546" s="78" t="s">
        <v>27</v>
      </c>
      <c r="C546" s="79" t="str">
        <f>HYPERLINK("https://azurlane.koumakan.jp/Kizuna_AI","Kizuna Ai")</f>
        <v>Kizuna Ai</v>
      </c>
      <c r="D546" s="26" t="s">
        <v>28</v>
      </c>
      <c r="E546" s="22">
        <v>1811.0</v>
      </c>
      <c r="F546" s="22">
        <v>75.0</v>
      </c>
      <c r="G546" s="22">
        <v>479.0</v>
      </c>
      <c r="H546" s="22">
        <v>0.0</v>
      </c>
      <c r="I546" s="22">
        <v>170.0</v>
      </c>
      <c r="J546" s="22">
        <v>203.0</v>
      </c>
      <c r="K546" s="22">
        <v>250.0</v>
      </c>
      <c r="L546" s="22" t="s">
        <v>29</v>
      </c>
      <c r="M546" s="22">
        <v>42.0</v>
      </c>
      <c r="N546" s="22">
        <v>202.0</v>
      </c>
      <c r="O546" s="22">
        <v>66.0</v>
      </c>
      <c r="P546" s="22">
        <v>225.0</v>
      </c>
      <c r="Q546" s="22">
        <v>9.0</v>
      </c>
      <c r="R546" s="22">
        <v>0.0</v>
      </c>
      <c r="S546" s="22">
        <v>0.0</v>
      </c>
      <c r="T546" s="24" t="s">
        <v>421</v>
      </c>
      <c r="U546" s="58"/>
      <c r="V546" s="26" t="s">
        <v>76</v>
      </c>
      <c r="W546" s="27"/>
      <c r="X546" s="28" t="s">
        <v>422</v>
      </c>
      <c r="Y546" s="29"/>
    </row>
    <row r="547">
      <c r="A547" s="49" t="s">
        <v>423</v>
      </c>
      <c r="B547" s="50" t="s">
        <v>66</v>
      </c>
      <c r="C547" s="51" t="str">
        <f>HYPERLINK("https://azurlane.koumakan.jp/Elegant_Kizuna_AI","Elegant Kizuna Ai")</f>
        <v>Elegant Kizuna Ai</v>
      </c>
      <c r="D547" s="37" t="s">
        <v>32</v>
      </c>
      <c r="E547" s="33">
        <v>5141.0</v>
      </c>
      <c r="F547" s="33">
        <v>259.0</v>
      </c>
      <c r="G547" s="33">
        <v>0.0</v>
      </c>
      <c r="H547" s="33">
        <v>0.0</v>
      </c>
      <c r="I547" s="33">
        <v>229.0</v>
      </c>
      <c r="J547" s="33">
        <v>177.0</v>
      </c>
      <c r="K547" s="33">
        <v>56.0</v>
      </c>
      <c r="L547" s="33" t="s">
        <v>71</v>
      </c>
      <c r="M547" s="33">
        <v>28.0</v>
      </c>
      <c r="N547" s="33">
        <v>138.0</v>
      </c>
      <c r="O547" s="33">
        <v>66.0</v>
      </c>
      <c r="P547" s="33">
        <v>0.0</v>
      </c>
      <c r="Q547" s="33">
        <v>12.0</v>
      </c>
      <c r="R547" s="33">
        <v>0.0</v>
      </c>
      <c r="S547" s="33">
        <v>0.0</v>
      </c>
      <c r="T547" s="35" t="s">
        <v>421</v>
      </c>
      <c r="U547" s="57"/>
      <c r="V547" s="37" t="s">
        <v>76</v>
      </c>
      <c r="W547" s="38"/>
      <c r="X547" s="39" t="s">
        <v>424</v>
      </c>
      <c r="Y547" s="40"/>
    </row>
    <row r="548">
      <c r="A548" s="77" t="s">
        <v>425</v>
      </c>
      <c r="B548" s="78" t="s">
        <v>95</v>
      </c>
      <c r="C548" s="79" t="str">
        <f>HYPERLINK("https://azurlane.koumakan.jp/Anniversary_Kizuna_AI","Anniversary Kizuna Ai")</f>
        <v>Anniversary Kizuna Ai</v>
      </c>
      <c r="D548" s="26" t="s">
        <v>32</v>
      </c>
      <c r="E548" s="22">
        <v>6787.0</v>
      </c>
      <c r="F548" s="22">
        <v>0.0</v>
      </c>
      <c r="G548" s="22">
        <v>0.0</v>
      </c>
      <c r="H548" s="22">
        <v>414.0</v>
      </c>
      <c r="I548" s="22">
        <v>330.0</v>
      </c>
      <c r="J548" s="22">
        <v>121.0</v>
      </c>
      <c r="K548" s="22">
        <v>40.0</v>
      </c>
      <c r="L548" s="22" t="s">
        <v>71</v>
      </c>
      <c r="M548" s="22">
        <v>32.0</v>
      </c>
      <c r="N548" s="22">
        <v>90.0</v>
      </c>
      <c r="O548" s="22">
        <v>66.0</v>
      </c>
      <c r="P548" s="22">
        <v>0.0</v>
      </c>
      <c r="Q548" s="22">
        <v>13.0</v>
      </c>
      <c r="R548" s="22">
        <v>0.0</v>
      </c>
      <c r="S548" s="22">
        <v>0.0</v>
      </c>
      <c r="T548" s="24" t="s">
        <v>421</v>
      </c>
      <c r="U548" s="58"/>
      <c r="V548" s="26" t="s">
        <v>76</v>
      </c>
      <c r="W548" s="27"/>
      <c r="X548" s="28" t="s">
        <v>426</v>
      </c>
      <c r="Y548" s="29"/>
    </row>
    <row r="549">
      <c r="A549" s="49" t="s">
        <v>427</v>
      </c>
      <c r="B549" s="50" t="s">
        <v>82</v>
      </c>
      <c r="C549" s="51" t="str">
        <f>HYPERLINK("https://azurlane.koumakan.jp/Super_Gamer_Kizuna_AI","Super Gamer Kizuna Ai")</f>
        <v>Super Gamer Kizuna Ai</v>
      </c>
      <c r="D549" s="37" t="s">
        <v>32</v>
      </c>
      <c r="E549" s="33">
        <v>7835.0</v>
      </c>
      <c r="F549" s="33">
        <v>414.0</v>
      </c>
      <c r="G549" s="33">
        <v>214.0</v>
      </c>
      <c r="H549" s="33">
        <v>0.0</v>
      </c>
      <c r="I549" s="33">
        <v>203.0</v>
      </c>
      <c r="J549" s="33">
        <v>144.0</v>
      </c>
      <c r="K549" s="33">
        <v>31.0</v>
      </c>
      <c r="L549" s="33" t="s">
        <v>83</v>
      </c>
      <c r="M549" s="33">
        <v>26.0</v>
      </c>
      <c r="N549" s="33">
        <v>58.0</v>
      </c>
      <c r="O549" s="33">
        <v>66.0</v>
      </c>
      <c r="P549" s="33">
        <v>0.0</v>
      </c>
      <c r="Q549" s="33">
        <v>15.0</v>
      </c>
      <c r="R549" s="33">
        <v>0.0</v>
      </c>
      <c r="S549" s="33">
        <v>0.0</v>
      </c>
      <c r="T549" s="35" t="s">
        <v>421</v>
      </c>
      <c r="U549" s="57"/>
      <c r="V549" s="37" t="s">
        <v>76</v>
      </c>
      <c r="W549" s="38"/>
      <c r="X549" s="39" t="s">
        <v>426</v>
      </c>
      <c r="Y549" s="40"/>
    </row>
    <row r="550">
      <c r="A550" s="41" t="s">
        <v>428</v>
      </c>
      <c r="B550" s="42" t="s">
        <v>27</v>
      </c>
      <c r="C550" s="43" t="str">
        <f>HYPERLINK("https://azurlane.koumakan.jp/Shirakami_Fubuki","Shirakami Fubuki")</f>
        <v>Shirakami Fubuki</v>
      </c>
      <c r="D550" s="24" t="s">
        <v>32</v>
      </c>
      <c r="E550" s="24">
        <v>1875.0</v>
      </c>
      <c r="F550" s="24">
        <v>77.0</v>
      </c>
      <c r="G550" s="24">
        <v>489.0</v>
      </c>
      <c r="H550" s="24">
        <v>204.0</v>
      </c>
      <c r="I550" s="24">
        <v>181.0</v>
      </c>
      <c r="J550" s="24">
        <v>219.0</v>
      </c>
      <c r="K550" s="24">
        <v>246.0</v>
      </c>
      <c r="L550" s="24" t="s">
        <v>29</v>
      </c>
      <c r="M550" s="24">
        <v>40.0</v>
      </c>
      <c r="N550" s="24">
        <v>216.0</v>
      </c>
      <c r="O550" s="24">
        <v>69.0</v>
      </c>
      <c r="P550" s="24">
        <v>203.0</v>
      </c>
      <c r="Q550" s="24">
        <v>10.0</v>
      </c>
      <c r="R550" s="24">
        <v>0.0</v>
      </c>
      <c r="S550" s="24">
        <v>0.0</v>
      </c>
      <c r="T550" s="24" t="s">
        <v>429</v>
      </c>
      <c r="U550" s="45"/>
      <c r="V550" s="24" t="s">
        <v>76</v>
      </c>
      <c r="W550" s="66">
        <v>0.012152777777777778</v>
      </c>
      <c r="X550" s="67" t="s">
        <v>430</v>
      </c>
      <c r="Y550" s="48"/>
    </row>
    <row r="551">
      <c r="A551" s="68" t="s">
        <v>431</v>
      </c>
      <c r="B551" s="69" t="s">
        <v>95</v>
      </c>
      <c r="C551" s="80" t="str">
        <f>HYPERLINK("https://azurlane.koumakan.jp/Tokino_Sora","Tokino Sora")</f>
        <v>Tokino Sora</v>
      </c>
      <c r="D551" s="35" t="s">
        <v>32</v>
      </c>
      <c r="E551" s="35">
        <v>6775.0</v>
      </c>
      <c r="F551" s="35">
        <v>0.0</v>
      </c>
      <c r="G551" s="35">
        <v>0.0</v>
      </c>
      <c r="H551" s="35">
        <v>424.0</v>
      </c>
      <c r="I551" s="35">
        <v>344.0</v>
      </c>
      <c r="J551" s="35">
        <v>124.0</v>
      </c>
      <c r="K551" s="35">
        <v>50.0</v>
      </c>
      <c r="L551" s="35" t="s">
        <v>71</v>
      </c>
      <c r="M551" s="35">
        <v>28.0</v>
      </c>
      <c r="N551" s="35">
        <v>105.0</v>
      </c>
      <c r="O551" s="35">
        <v>46.0</v>
      </c>
      <c r="P551" s="35">
        <v>0.0</v>
      </c>
      <c r="Q551" s="35">
        <v>13.0</v>
      </c>
      <c r="R551" s="35">
        <v>0.0</v>
      </c>
      <c r="S551" s="35">
        <v>0.0</v>
      </c>
      <c r="T551" s="35" t="s">
        <v>429</v>
      </c>
      <c r="U551" s="71"/>
      <c r="V551" s="35" t="s">
        <v>76</v>
      </c>
      <c r="W551" s="72">
        <v>0.059027777777777776</v>
      </c>
      <c r="X551" s="73" t="s">
        <v>432</v>
      </c>
      <c r="Y551" s="74"/>
    </row>
    <row r="552">
      <c r="A552" s="41" t="s">
        <v>433</v>
      </c>
      <c r="B552" s="42" t="s">
        <v>242</v>
      </c>
      <c r="C552" s="43" t="str">
        <f>HYPERLINK("https://azurlane.koumakan.jp/Minato_Aqua","Minato Aqua")</f>
        <v>Minato Aqua</v>
      </c>
      <c r="D552" s="24" t="s">
        <v>32</v>
      </c>
      <c r="E552" s="24">
        <v>1722.0</v>
      </c>
      <c r="F552" s="24">
        <v>66.0</v>
      </c>
      <c r="G552" s="24">
        <v>545.0</v>
      </c>
      <c r="H552" s="24">
        <v>0.0</v>
      </c>
      <c r="I552" s="24">
        <v>0.0</v>
      </c>
      <c r="J552" s="24">
        <v>109.0</v>
      </c>
      <c r="K552" s="24">
        <v>45.0</v>
      </c>
      <c r="L552" s="24" t="s">
        <v>29</v>
      </c>
      <c r="M552" s="24">
        <v>40.0</v>
      </c>
      <c r="N552" s="24">
        <v>182.0</v>
      </c>
      <c r="O552" s="24">
        <v>64.0</v>
      </c>
      <c r="P552" s="24">
        <v>0.0</v>
      </c>
      <c r="Q552" s="24">
        <v>7.0</v>
      </c>
      <c r="R552" s="24">
        <v>268.0</v>
      </c>
      <c r="S552" s="24">
        <v>2.0</v>
      </c>
      <c r="T552" s="24" t="s">
        <v>429</v>
      </c>
      <c r="U552" s="45"/>
      <c r="V552" s="24" t="s">
        <v>76</v>
      </c>
      <c r="W552" s="104">
        <v>0.013888888888888888</v>
      </c>
      <c r="X552" s="67" t="s">
        <v>430</v>
      </c>
      <c r="Y552" s="48"/>
    </row>
    <row r="553">
      <c r="A553" s="68" t="s">
        <v>434</v>
      </c>
      <c r="B553" s="69" t="s">
        <v>27</v>
      </c>
      <c r="C553" s="80" t="str">
        <f>HYPERLINK("https://azurlane.koumakan.jp/Natsuiro_Matsuri","Natsuiro Matsuri")</f>
        <v>Natsuiro Matsuri</v>
      </c>
      <c r="D553" s="35" t="s">
        <v>28</v>
      </c>
      <c r="E553" s="35">
        <v>1805.0</v>
      </c>
      <c r="F553" s="35">
        <v>70.0</v>
      </c>
      <c r="G553" s="35">
        <v>473.0</v>
      </c>
      <c r="H553" s="35">
        <v>0.0</v>
      </c>
      <c r="I553" s="35">
        <v>169.0</v>
      </c>
      <c r="J553" s="35">
        <v>209.0</v>
      </c>
      <c r="K553" s="35">
        <v>245.0</v>
      </c>
      <c r="L553" s="35" t="s">
        <v>29</v>
      </c>
      <c r="M553" s="35">
        <v>40.0</v>
      </c>
      <c r="N553" s="35">
        <v>212.0</v>
      </c>
      <c r="O553" s="35">
        <v>87.0</v>
      </c>
      <c r="P553" s="35">
        <v>209.0</v>
      </c>
      <c r="Q553" s="35">
        <v>9.0</v>
      </c>
      <c r="R553" s="35">
        <v>0.0</v>
      </c>
      <c r="S553" s="35">
        <v>0.0</v>
      </c>
      <c r="T553" s="35" t="s">
        <v>429</v>
      </c>
      <c r="U553" s="71"/>
      <c r="V553" s="35" t="s">
        <v>76</v>
      </c>
      <c r="W553" s="72">
        <v>0.008333333333333333</v>
      </c>
      <c r="X553" s="73" t="s">
        <v>430</v>
      </c>
      <c r="Y553" s="74"/>
    </row>
    <row r="554">
      <c r="A554" s="41" t="s">
        <v>435</v>
      </c>
      <c r="B554" s="42" t="s">
        <v>66</v>
      </c>
      <c r="C554" s="43" t="str">
        <f>HYPERLINK("https://azurlane.koumakan.jp/Nakiri_Ayame","Nakiri Ayame")</f>
        <v>Nakiri Ayame</v>
      </c>
      <c r="D554" s="24" t="s">
        <v>28</v>
      </c>
      <c r="E554" s="24">
        <v>4269.0</v>
      </c>
      <c r="F554" s="24">
        <v>237.0</v>
      </c>
      <c r="G554" s="24">
        <v>0.0</v>
      </c>
      <c r="H554" s="24">
        <v>0.0</v>
      </c>
      <c r="I554" s="24">
        <v>201.0</v>
      </c>
      <c r="J554" s="24">
        <v>176.0</v>
      </c>
      <c r="K554" s="24">
        <v>51.0</v>
      </c>
      <c r="L554" s="24" t="s">
        <v>29</v>
      </c>
      <c r="M554" s="24">
        <v>26.0</v>
      </c>
      <c r="N554" s="24">
        <v>112.0</v>
      </c>
      <c r="O554" s="24">
        <v>65.0</v>
      </c>
      <c r="P554" s="24">
        <v>0.0</v>
      </c>
      <c r="Q554" s="24">
        <v>11.0</v>
      </c>
      <c r="R554" s="24">
        <v>0.0</v>
      </c>
      <c r="S554" s="24">
        <v>0.0</v>
      </c>
      <c r="T554" s="24" t="s">
        <v>429</v>
      </c>
      <c r="U554" s="45"/>
      <c r="V554" s="24" t="s">
        <v>76</v>
      </c>
      <c r="W554" s="66">
        <v>0.14027777777777778</v>
      </c>
      <c r="X554" s="67" t="s">
        <v>430</v>
      </c>
      <c r="Y554" s="48"/>
    </row>
    <row r="555">
      <c r="A555" s="68" t="s">
        <v>436</v>
      </c>
      <c r="B555" s="69" t="s">
        <v>91</v>
      </c>
      <c r="C555" s="80" t="str">
        <f>HYPERLINK("https://azurlane.koumakan.jp/Murasaki_Shion","Murasaki Shion")</f>
        <v>Murasaki Shion</v>
      </c>
      <c r="D555" s="35" t="s">
        <v>28</v>
      </c>
      <c r="E555" s="35">
        <v>5304.0</v>
      </c>
      <c r="F555" s="35">
        <v>0.0</v>
      </c>
      <c r="G555" s="35">
        <v>0.0</v>
      </c>
      <c r="H555" s="35">
        <v>315.0</v>
      </c>
      <c r="I555" s="35">
        <v>260.0</v>
      </c>
      <c r="J555" s="35">
        <v>176.0</v>
      </c>
      <c r="K555" s="35">
        <v>69.0</v>
      </c>
      <c r="L555" s="35" t="s">
        <v>71</v>
      </c>
      <c r="M555" s="35">
        <v>26.0</v>
      </c>
      <c r="N555" s="35">
        <v>85.0</v>
      </c>
      <c r="O555" s="35">
        <v>85.0</v>
      </c>
      <c r="P555" s="35">
        <v>73.0</v>
      </c>
      <c r="Q555" s="35">
        <v>11.0</v>
      </c>
      <c r="R555" s="35">
        <v>0.0</v>
      </c>
      <c r="S555" s="35">
        <v>0.0</v>
      </c>
      <c r="T555" s="35" t="s">
        <v>429</v>
      </c>
      <c r="U555" s="71"/>
      <c r="V555" s="35" t="s">
        <v>76</v>
      </c>
      <c r="W555" s="97"/>
      <c r="X555" s="73" t="s">
        <v>437</v>
      </c>
      <c r="Y555" s="74"/>
    </row>
    <row r="556">
      <c r="A556" s="41" t="s">
        <v>438</v>
      </c>
      <c r="B556" s="42" t="s">
        <v>95</v>
      </c>
      <c r="C556" s="43" t="str">
        <f>HYPERLINK("https://azurlane.koumakan.jp/Ookami_Mio","Ookami Mio")</f>
        <v>Ookami Mio</v>
      </c>
      <c r="D556" s="24" t="s">
        <v>28</v>
      </c>
      <c r="E556" s="24">
        <v>6527.0</v>
      </c>
      <c r="F556" s="24">
        <v>0.0</v>
      </c>
      <c r="G556" s="24">
        <v>0.0</v>
      </c>
      <c r="H556" s="24">
        <v>379.0</v>
      </c>
      <c r="I556" s="24">
        <v>294.0</v>
      </c>
      <c r="J556" s="24">
        <v>118.0</v>
      </c>
      <c r="K556" s="24">
        <v>49.0</v>
      </c>
      <c r="L556" s="24" t="s">
        <v>71</v>
      </c>
      <c r="M556" s="24">
        <v>26.0</v>
      </c>
      <c r="N556" s="24">
        <v>105.0</v>
      </c>
      <c r="O556" s="24">
        <v>53.0</v>
      </c>
      <c r="P556" s="24">
        <v>0.0</v>
      </c>
      <c r="Q556" s="24">
        <v>12.0</v>
      </c>
      <c r="R556" s="24">
        <v>0.0</v>
      </c>
      <c r="S556" s="24">
        <v>0.0</v>
      </c>
      <c r="T556" s="24" t="s">
        <v>429</v>
      </c>
      <c r="U556" s="45"/>
      <c r="V556" s="24" t="s">
        <v>76</v>
      </c>
      <c r="W556" s="46"/>
      <c r="X556" s="67" t="s">
        <v>437</v>
      </c>
      <c r="Y556" s="48"/>
    </row>
    <row r="557">
      <c r="A557" s="68" t="s">
        <v>439</v>
      </c>
      <c r="B557" s="69" t="s">
        <v>27</v>
      </c>
      <c r="C557" s="80" t="s">
        <v>440</v>
      </c>
      <c r="D557" s="35" t="s">
        <v>32</v>
      </c>
      <c r="E557" s="35">
        <v>2091.0</v>
      </c>
      <c r="F557" s="35">
        <v>92.0</v>
      </c>
      <c r="G557" s="35">
        <v>514.0</v>
      </c>
      <c r="H557" s="35">
        <v>0.0</v>
      </c>
      <c r="I557" s="35">
        <v>181.0</v>
      </c>
      <c r="J557" s="35">
        <v>225.0</v>
      </c>
      <c r="K557" s="35">
        <v>248.0</v>
      </c>
      <c r="L557" s="35" t="s">
        <v>29</v>
      </c>
      <c r="M557" s="35">
        <v>42.0</v>
      </c>
      <c r="N557" s="35">
        <v>218.0</v>
      </c>
      <c r="O557" s="35">
        <v>78.0</v>
      </c>
      <c r="P557" s="35">
        <v>212.0</v>
      </c>
      <c r="Q557" s="35">
        <v>10.0</v>
      </c>
      <c r="R557" s="35">
        <v>0.0</v>
      </c>
      <c r="S557" s="35">
        <v>0.0</v>
      </c>
      <c r="T557" s="35" t="s">
        <v>441</v>
      </c>
      <c r="U557" s="71"/>
      <c r="V557" s="35" t="s">
        <v>76</v>
      </c>
      <c r="W557" s="72">
        <v>0.11118055555555556</v>
      </c>
      <c r="X557" s="73" t="s">
        <v>442</v>
      </c>
      <c r="Y557" s="74"/>
    </row>
    <row r="558">
      <c r="A558" s="41" t="s">
        <v>443</v>
      </c>
      <c r="B558" s="42" t="s">
        <v>82</v>
      </c>
      <c r="C558" s="43" t="s">
        <v>444</v>
      </c>
      <c r="D558" s="24" t="s">
        <v>32</v>
      </c>
      <c r="E558" s="24">
        <v>8095.0</v>
      </c>
      <c r="F558" s="24">
        <v>408.0</v>
      </c>
      <c r="G558" s="24">
        <v>0.0</v>
      </c>
      <c r="H558" s="24">
        <v>0.0</v>
      </c>
      <c r="I558" s="24">
        <v>219.0</v>
      </c>
      <c r="J558" s="24">
        <v>146.0</v>
      </c>
      <c r="K558" s="24">
        <v>18.0</v>
      </c>
      <c r="L558" s="24" t="s">
        <v>83</v>
      </c>
      <c r="M558" s="24">
        <v>26.0</v>
      </c>
      <c r="N558" s="24">
        <v>58.0</v>
      </c>
      <c r="O558" s="24">
        <v>91.0</v>
      </c>
      <c r="P558" s="24">
        <v>0.0</v>
      </c>
      <c r="Q558" s="24">
        <v>15.0</v>
      </c>
      <c r="R558" s="24">
        <v>0.0</v>
      </c>
      <c r="S558" s="24">
        <v>0.0</v>
      </c>
      <c r="T558" s="24" t="s">
        <v>441</v>
      </c>
      <c r="U558" s="45"/>
      <c r="V558" s="24" t="s">
        <v>76</v>
      </c>
      <c r="W558" s="66">
        <v>0.10792824074074074</v>
      </c>
      <c r="X558" s="67" t="s">
        <v>442</v>
      </c>
      <c r="Y558" s="48"/>
    </row>
    <row r="559">
      <c r="A559" s="68" t="s">
        <v>445</v>
      </c>
      <c r="B559" s="69" t="s">
        <v>66</v>
      </c>
      <c r="C559" s="80" t="s">
        <v>446</v>
      </c>
      <c r="D559" s="35" t="s">
        <v>32</v>
      </c>
      <c r="E559" s="35">
        <v>4964.0</v>
      </c>
      <c r="F559" s="35">
        <v>267.0</v>
      </c>
      <c r="G559" s="35">
        <v>219.0</v>
      </c>
      <c r="H559" s="35">
        <v>0.0</v>
      </c>
      <c r="I559" s="35">
        <v>229.0</v>
      </c>
      <c r="J559" s="35">
        <v>177.0</v>
      </c>
      <c r="K559" s="35">
        <v>97.0</v>
      </c>
      <c r="L559" s="35" t="s">
        <v>71</v>
      </c>
      <c r="M559" s="35">
        <v>28.0</v>
      </c>
      <c r="N559" s="35">
        <v>137.0</v>
      </c>
      <c r="O559" s="35">
        <v>85.0</v>
      </c>
      <c r="P559" s="35">
        <v>0.0</v>
      </c>
      <c r="Q559" s="35">
        <v>12.0</v>
      </c>
      <c r="R559" s="35">
        <v>0.0</v>
      </c>
      <c r="S559" s="35">
        <v>0.0</v>
      </c>
      <c r="T559" s="35" t="s">
        <v>441</v>
      </c>
      <c r="U559" s="71"/>
      <c r="V559" s="35" t="s">
        <v>76</v>
      </c>
      <c r="W559" s="72">
        <v>0.10674768518518518</v>
      </c>
      <c r="X559" s="73" t="s">
        <v>442</v>
      </c>
      <c r="Y559" s="74"/>
    </row>
    <row r="560">
      <c r="A560" s="41" t="s">
        <v>447</v>
      </c>
      <c r="B560" s="42" t="s">
        <v>52</v>
      </c>
      <c r="C560" s="43" t="s">
        <v>448</v>
      </c>
      <c r="D560" s="24" t="s">
        <v>32</v>
      </c>
      <c r="E560" s="24">
        <v>3971.0</v>
      </c>
      <c r="F560" s="24">
        <v>170.0</v>
      </c>
      <c r="G560" s="24">
        <v>0.0</v>
      </c>
      <c r="H560" s="24">
        <v>0.0</v>
      </c>
      <c r="I560" s="24">
        <v>333.0</v>
      </c>
      <c r="J560" s="24">
        <v>197.0</v>
      </c>
      <c r="K560" s="24">
        <v>109.0</v>
      </c>
      <c r="L560" s="24" t="s">
        <v>29</v>
      </c>
      <c r="M560" s="24">
        <v>33.0</v>
      </c>
      <c r="N560" s="24">
        <v>167.0</v>
      </c>
      <c r="O560" s="24">
        <v>89.0</v>
      </c>
      <c r="P560" s="24">
        <v>156.0</v>
      </c>
      <c r="Q560" s="24">
        <v>11.0</v>
      </c>
      <c r="R560" s="24">
        <v>0.0</v>
      </c>
      <c r="S560" s="24">
        <v>0.0</v>
      </c>
      <c r="T560" s="24" t="s">
        <v>441</v>
      </c>
      <c r="U560" s="45"/>
      <c r="V560" s="24" t="s">
        <v>76</v>
      </c>
      <c r="W560" s="66">
        <v>0.11234953703703704</v>
      </c>
      <c r="X560" s="67" t="s">
        <v>449</v>
      </c>
      <c r="Y560" s="48"/>
    </row>
    <row r="561">
      <c r="A561" s="68" t="s">
        <v>450</v>
      </c>
      <c r="B561" s="69" t="s">
        <v>82</v>
      </c>
      <c r="C561" s="80" t="s">
        <v>451</v>
      </c>
      <c r="D561" s="35" t="s">
        <v>28</v>
      </c>
      <c r="E561" s="35">
        <v>7689.0</v>
      </c>
      <c r="F561" s="35">
        <v>388.0</v>
      </c>
      <c r="G561" s="35">
        <v>0.0</v>
      </c>
      <c r="H561" s="35">
        <v>0.0</v>
      </c>
      <c r="I561" s="35">
        <v>177.0</v>
      </c>
      <c r="J561" s="35">
        <v>151.0</v>
      </c>
      <c r="K561" s="35">
        <v>40.0</v>
      </c>
      <c r="L561" s="35" t="s">
        <v>83</v>
      </c>
      <c r="M561" s="35">
        <v>30.0</v>
      </c>
      <c r="N561" s="35">
        <v>67.0</v>
      </c>
      <c r="O561" s="35">
        <v>87.0</v>
      </c>
      <c r="P561" s="35">
        <v>0.0</v>
      </c>
      <c r="Q561" s="35">
        <v>14.0</v>
      </c>
      <c r="R561" s="35">
        <v>0.0</v>
      </c>
      <c r="S561" s="35">
        <v>0.0</v>
      </c>
      <c r="T561" s="35" t="s">
        <v>441</v>
      </c>
      <c r="U561" s="71"/>
      <c r="V561" s="35" t="s">
        <v>76</v>
      </c>
      <c r="W561" s="72">
        <v>0.11001157407407407</v>
      </c>
      <c r="X561" s="73" t="s">
        <v>442</v>
      </c>
      <c r="Y561" s="74"/>
    </row>
    <row r="562">
      <c r="A562" s="41" t="s">
        <v>452</v>
      </c>
      <c r="B562" s="42" t="s">
        <v>95</v>
      </c>
      <c r="C562" s="43" t="s">
        <v>453</v>
      </c>
      <c r="D562" s="24" t="s">
        <v>28</v>
      </c>
      <c r="E562" s="24">
        <v>6803.0</v>
      </c>
      <c r="F562" s="24">
        <v>0.0</v>
      </c>
      <c r="G562" s="24">
        <v>0.0</v>
      </c>
      <c r="H562" s="24">
        <v>379.0</v>
      </c>
      <c r="I562" s="24">
        <v>316.0</v>
      </c>
      <c r="J562" s="24">
        <v>118.0</v>
      </c>
      <c r="K562" s="24">
        <v>55.0</v>
      </c>
      <c r="L562" s="24" t="s">
        <v>71</v>
      </c>
      <c r="M562" s="24">
        <v>32.0</v>
      </c>
      <c r="N562" s="24">
        <v>89.0</v>
      </c>
      <c r="O562" s="24">
        <v>88.0</v>
      </c>
      <c r="P562" s="24">
        <v>0.0</v>
      </c>
      <c r="Q562" s="24">
        <v>12.0</v>
      </c>
      <c r="R562" s="24">
        <v>0.0</v>
      </c>
      <c r="S562" s="24">
        <v>0.0</v>
      </c>
      <c r="T562" s="24" t="s">
        <v>441</v>
      </c>
      <c r="U562" s="45"/>
      <c r="V562" s="24" t="s">
        <v>76</v>
      </c>
      <c r="W562" s="46"/>
      <c r="X562" s="67" t="s">
        <v>454</v>
      </c>
      <c r="Y562" s="48"/>
    </row>
    <row r="563">
      <c r="A563" s="68" t="s">
        <v>455</v>
      </c>
      <c r="B563" s="69" t="s">
        <v>52</v>
      </c>
      <c r="C563" s="80" t="s">
        <v>456</v>
      </c>
      <c r="D563" s="35" t="s">
        <v>28</v>
      </c>
      <c r="E563" s="35">
        <v>3861.0</v>
      </c>
      <c r="F563" s="35">
        <v>150.0</v>
      </c>
      <c r="G563" s="35">
        <v>296.0</v>
      </c>
      <c r="H563" s="35">
        <v>0.0</v>
      </c>
      <c r="I563" s="35">
        <v>363.0</v>
      </c>
      <c r="J563" s="35">
        <v>184.0</v>
      </c>
      <c r="K563" s="35">
        <v>118.0</v>
      </c>
      <c r="L563" s="35" t="s">
        <v>29</v>
      </c>
      <c r="M563" s="35">
        <v>32.0</v>
      </c>
      <c r="N563" s="35">
        <v>164.0</v>
      </c>
      <c r="O563" s="35">
        <v>88.0</v>
      </c>
      <c r="P563" s="35">
        <v>88.0</v>
      </c>
      <c r="Q563" s="35">
        <v>10.0</v>
      </c>
      <c r="R563" s="35">
        <v>0.0</v>
      </c>
      <c r="S563" s="35">
        <v>0.0</v>
      </c>
      <c r="T563" s="35" t="s">
        <v>441</v>
      </c>
      <c r="U563" s="71"/>
      <c r="V563" s="35" t="s">
        <v>76</v>
      </c>
      <c r="W563" s="72">
        <v>0.10532407407407407</v>
      </c>
      <c r="X563" s="73" t="s">
        <v>442</v>
      </c>
      <c r="Y563" s="74"/>
    </row>
    <row r="564">
      <c r="A564" s="41" t="s">
        <v>457</v>
      </c>
      <c r="B564" s="42" t="s">
        <v>52</v>
      </c>
      <c r="C564" s="99" t="s">
        <v>458</v>
      </c>
      <c r="D564" s="24" t="s">
        <v>32</v>
      </c>
      <c r="E564" s="24">
        <v>4114.0</v>
      </c>
      <c r="F564" s="24">
        <v>165.0</v>
      </c>
      <c r="G564" s="24">
        <v>365.0</v>
      </c>
      <c r="H564" s="24">
        <v>0.0</v>
      </c>
      <c r="I564" s="24">
        <v>366.0</v>
      </c>
      <c r="J564" s="24">
        <v>195.0</v>
      </c>
      <c r="K564" s="24">
        <v>113.0</v>
      </c>
      <c r="L564" s="24" t="s">
        <v>29</v>
      </c>
      <c r="M564" s="24">
        <v>32.0</v>
      </c>
      <c r="N564" s="24">
        <v>165.0</v>
      </c>
      <c r="O564" s="24">
        <v>83.0</v>
      </c>
      <c r="P564" s="24">
        <v>149.0</v>
      </c>
      <c r="Q564" s="24">
        <v>11.0</v>
      </c>
      <c r="R564" s="24">
        <v>0.0</v>
      </c>
      <c r="S564" s="24">
        <v>0.0</v>
      </c>
      <c r="T564" s="24" t="s">
        <v>459</v>
      </c>
      <c r="U564" s="45"/>
      <c r="V564" s="24" t="s">
        <v>76</v>
      </c>
      <c r="W564" s="66">
        <v>0.04664351851851852</v>
      </c>
      <c r="X564" s="67" t="s">
        <v>459</v>
      </c>
      <c r="Y564" s="48"/>
    </row>
    <row r="565">
      <c r="A565" s="68" t="s">
        <v>460</v>
      </c>
      <c r="B565" s="69" t="s">
        <v>95</v>
      </c>
      <c r="C565" s="70" t="s">
        <v>461</v>
      </c>
      <c r="D565" s="35" t="s">
        <v>32</v>
      </c>
      <c r="E565" s="35">
        <v>6923.0</v>
      </c>
      <c r="F565" s="35">
        <v>0.0</v>
      </c>
      <c r="G565" s="35">
        <v>0.0</v>
      </c>
      <c r="H565" s="35">
        <v>434.0</v>
      </c>
      <c r="I565" s="35">
        <v>322.0</v>
      </c>
      <c r="J565" s="35">
        <v>146.0</v>
      </c>
      <c r="K565" s="35">
        <v>55.0</v>
      </c>
      <c r="L565" s="35" t="s">
        <v>71</v>
      </c>
      <c r="M565" s="35">
        <v>31.0</v>
      </c>
      <c r="N565" s="35">
        <v>90.0</v>
      </c>
      <c r="O565" s="35">
        <v>72.0</v>
      </c>
      <c r="P565" s="35">
        <v>0.0</v>
      </c>
      <c r="Q565" s="35">
        <v>13.0</v>
      </c>
      <c r="R565" s="35">
        <v>0.0</v>
      </c>
      <c r="S565" s="35">
        <v>0.0</v>
      </c>
      <c r="T565" s="35" t="s">
        <v>459</v>
      </c>
      <c r="U565" s="71"/>
      <c r="V565" s="35" t="s">
        <v>76</v>
      </c>
      <c r="W565" s="72">
        <v>0.2604166666666667</v>
      </c>
      <c r="X565" s="73" t="s">
        <v>459</v>
      </c>
      <c r="Y565" s="74"/>
    </row>
    <row r="566">
      <c r="A566" s="41" t="s">
        <v>462</v>
      </c>
      <c r="B566" s="42" t="s">
        <v>82</v>
      </c>
      <c r="C566" s="99" t="s">
        <v>463</v>
      </c>
      <c r="D566" s="24" t="s">
        <v>32</v>
      </c>
      <c r="E566" s="24">
        <v>8000.0</v>
      </c>
      <c r="F566" s="24">
        <v>426.0</v>
      </c>
      <c r="G566" s="24">
        <v>0.0</v>
      </c>
      <c r="H566" s="24">
        <v>0.0</v>
      </c>
      <c r="I566" s="24">
        <v>384.0</v>
      </c>
      <c r="J566" s="24">
        <v>151.0</v>
      </c>
      <c r="K566" s="24">
        <v>36.0</v>
      </c>
      <c r="L566" s="24" t="s">
        <v>83</v>
      </c>
      <c r="M566" s="24">
        <v>26.0</v>
      </c>
      <c r="N566" s="24">
        <v>57.0</v>
      </c>
      <c r="O566" s="24">
        <v>77.0</v>
      </c>
      <c r="P566" s="24">
        <v>0.0</v>
      </c>
      <c r="Q566" s="24">
        <v>15.0</v>
      </c>
      <c r="R566" s="24">
        <v>0.0</v>
      </c>
      <c r="S566" s="24">
        <v>0.0</v>
      </c>
      <c r="T566" s="24" t="s">
        <v>459</v>
      </c>
      <c r="U566" s="45"/>
      <c r="V566" s="24" t="s">
        <v>76</v>
      </c>
      <c r="W566" s="66">
        <v>0.05844907407407408</v>
      </c>
      <c r="X566" s="67" t="s">
        <v>459</v>
      </c>
      <c r="Y566" s="48"/>
    </row>
    <row r="567">
      <c r="A567" s="68" t="s">
        <v>464</v>
      </c>
      <c r="B567" s="69" t="s">
        <v>66</v>
      </c>
      <c r="C567" s="70" t="s">
        <v>465</v>
      </c>
      <c r="D567" s="35" t="s">
        <v>32</v>
      </c>
      <c r="E567" s="35">
        <v>5361.0</v>
      </c>
      <c r="F567" s="35">
        <v>243.0</v>
      </c>
      <c r="G567" s="35">
        <v>0.0</v>
      </c>
      <c r="H567" s="35">
        <v>0.0</v>
      </c>
      <c r="I567" s="35">
        <v>215.0</v>
      </c>
      <c r="J567" s="35">
        <v>177.0</v>
      </c>
      <c r="K567" s="35">
        <v>67.0</v>
      </c>
      <c r="L567" s="35" t="s">
        <v>71</v>
      </c>
      <c r="M567" s="35">
        <v>26.0</v>
      </c>
      <c r="N567" s="35">
        <v>134.0</v>
      </c>
      <c r="O567" s="35">
        <v>91.0</v>
      </c>
      <c r="P567" s="35">
        <v>0.0</v>
      </c>
      <c r="Q567" s="35">
        <v>12.0</v>
      </c>
      <c r="R567" s="35">
        <v>0.0</v>
      </c>
      <c r="S567" s="35">
        <v>0.0</v>
      </c>
      <c r="T567" s="35" t="s">
        <v>459</v>
      </c>
      <c r="U567" s="71"/>
      <c r="V567" s="35" t="s">
        <v>76</v>
      </c>
      <c r="W567" s="72">
        <v>0.08321759259259259</v>
      </c>
      <c r="X567" s="73" t="s">
        <v>459</v>
      </c>
      <c r="Y567" s="74"/>
    </row>
    <row r="568">
      <c r="A568" s="41" t="s">
        <v>466</v>
      </c>
      <c r="B568" s="42" t="s">
        <v>327</v>
      </c>
      <c r="C568" s="99" t="s">
        <v>467</v>
      </c>
      <c r="D568" s="24" t="s">
        <v>28</v>
      </c>
      <c r="E568" s="24">
        <v>4425.0</v>
      </c>
      <c r="F568" s="24">
        <v>70.0</v>
      </c>
      <c r="G568" s="24">
        <v>0.0</v>
      </c>
      <c r="H568" s="24">
        <v>0.0</v>
      </c>
      <c r="I568" s="24">
        <v>177.0</v>
      </c>
      <c r="J568" s="24">
        <v>218.0</v>
      </c>
      <c r="K568" s="24">
        <v>64.0</v>
      </c>
      <c r="L568" s="24" t="s">
        <v>71</v>
      </c>
      <c r="M568" s="24">
        <v>25.0</v>
      </c>
      <c r="N568" s="24">
        <v>235.0</v>
      </c>
      <c r="O568" s="24">
        <v>85.0</v>
      </c>
      <c r="P568" s="24">
        <v>0.0</v>
      </c>
      <c r="Q568" s="24">
        <v>10.0</v>
      </c>
      <c r="R568" s="24">
        <v>0.0</v>
      </c>
      <c r="S568" s="24">
        <v>0.0</v>
      </c>
      <c r="T568" s="24" t="s">
        <v>459</v>
      </c>
      <c r="U568" s="45"/>
      <c r="V568" s="24" t="s">
        <v>76</v>
      </c>
      <c r="W568" s="46"/>
      <c r="X568" s="67" t="s">
        <v>459</v>
      </c>
      <c r="Y568" s="48"/>
    </row>
    <row r="569">
      <c r="A569" s="68" t="s">
        <v>468</v>
      </c>
      <c r="B569" s="69" t="s">
        <v>242</v>
      </c>
      <c r="C569" s="70" t="s">
        <v>469</v>
      </c>
      <c r="D569" s="35" t="s">
        <v>28</v>
      </c>
      <c r="E569" s="35">
        <v>1542.0</v>
      </c>
      <c r="F569" s="35">
        <v>49.0</v>
      </c>
      <c r="G569" s="35">
        <v>518.0</v>
      </c>
      <c r="H569" s="35">
        <v>0.0</v>
      </c>
      <c r="I569" s="35">
        <v>0.0</v>
      </c>
      <c r="J569" s="35">
        <v>118.0</v>
      </c>
      <c r="K569" s="35">
        <v>43.0</v>
      </c>
      <c r="L569" s="35" t="s">
        <v>29</v>
      </c>
      <c r="M569" s="35">
        <v>23.0</v>
      </c>
      <c r="N569" s="35">
        <v>207.0</v>
      </c>
      <c r="O569" s="35">
        <v>74.0</v>
      </c>
      <c r="P569" s="35">
        <v>0.0</v>
      </c>
      <c r="Q569" s="35">
        <v>6.0</v>
      </c>
      <c r="R569" s="35">
        <v>248.0</v>
      </c>
      <c r="S569" s="35">
        <v>2.0</v>
      </c>
      <c r="T569" s="35" t="s">
        <v>459</v>
      </c>
      <c r="U569" s="71"/>
      <c r="V569" s="35" t="s">
        <v>76</v>
      </c>
      <c r="W569" s="72">
        <v>0.0060416666666666665</v>
      </c>
      <c r="X569" s="73" t="s">
        <v>459</v>
      </c>
      <c r="Y569" s="74"/>
    </row>
    <row r="570">
      <c r="A570" s="41" t="s">
        <v>470</v>
      </c>
      <c r="B570" s="42" t="s">
        <v>242</v>
      </c>
      <c r="C570" s="99" t="s">
        <v>471</v>
      </c>
      <c r="D570" s="24" t="s">
        <v>28</v>
      </c>
      <c r="E570" s="24">
        <v>1542.0</v>
      </c>
      <c r="F570" s="24">
        <v>49.0</v>
      </c>
      <c r="G570" s="24">
        <v>518.0</v>
      </c>
      <c r="H570" s="24">
        <v>0.0</v>
      </c>
      <c r="I570" s="24">
        <v>0.0</v>
      </c>
      <c r="J570" s="24">
        <v>118.0</v>
      </c>
      <c r="K570" s="24">
        <v>43.0</v>
      </c>
      <c r="L570" s="24" t="s">
        <v>29</v>
      </c>
      <c r="M570" s="24">
        <v>23.0</v>
      </c>
      <c r="N570" s="24">
        <v>207.0</v>
      </c>
      <c r="O570" s="24">
        <v>74.0</v>
      </c>
      <c r="P570" s="24">
        <v>0.0</v>
      </c>
      <c r="Q570" s="24">
        <v>6.0</v>
      </c>
      <c r="R570" s="24">
        <v>248.0</v>
      </c>
      <c r="S570" s="24">
        <v>2.0</v>
      </c>
      <c r="T570" s="24" t="s">
        <v>459</v>
      </c>
      <c r="U570" s="45"/>
      <c r="V570" s="24" t="s">
        <v>76</v>
      </c>
      <c r="W570" s="66">
        <v>0.0060416666666666665</v>
      </c>
      <c r="X570" s="67" t="s">
        <v>459</v>
      </c>
      <c r="Y570" s="48"/>
    </row>
    <row r="571">
      <c r="A571" s="49" t="s">
        <v>472</v>
      </c>
      <c r="B571" s="50" t="s">
        <v>52</v>
      </c>
      <c r="C571" s="51" t="str">
        <f>HYPERLINK("https://azurlane.koumakan.jp/HMS_Neptune","Neptune")</f>
        <v>Neptune</v>
      </c>
      <c r="D571" s="37" t="s">
        <v>473</v>
      </c>
      <c r="E571" s="33">
        <v>4742.0</v>
      </c>
      <c r="F571" s="33">
        <v>175.0</v>
      </c>
      <c r="G571" s="33">
        <v>359.0</v>
      </c>
      <c r="H571" s="33">
        <v>0.0</v>
      </c>
      <c r="I571" s="33">
        <v>371.0</v>
      </c>
      <c r="J571" s="33">
        <v>166.0</v>
      </c>
      <c r="K571" s="33">
        <v>100.0</v>
      </c>
      <c r="L571" s="33" t="s">
        <v>29</v>
      </c>
      <c r="M571" s="33">
        <v>33.0</v>
      </c>
      <c r="N571" s="33">
        <v>162.0</v>
      </c>
      <c r="O571" s="33">
        <v>15.0</v>
      </c>
      <c r="P571" s="33">
        <v>155.0</v>
      </c>
      <c r="Q571" s="33">
        <v>12.0</v>
      </c>
      <c r="R571" s="33">
        <v>0.0</v>
      </c>
      <c r="S571" s="33">
        <v>0.0</v>
      </c>
      <c r="T571" s="35" t="s">
        <v>104</v>
      </c>
      <c r="U571" s="57"/>
      <c r="V571" s="37" t="s">
        <v>474</v>
      </c>
      <c r="W571" s="52"/>
      <c r="X571" s="39"/>
      <c r="Y571" s="40"/>
    </row>
    <row r="572">
      <c r="A572" s="77" t="s">
        <v>475</v>
      </c>
      <c r="B572" s="78" t="s">
        <v>82</v>
      </c>
      <c r="C572" s="79" t="str">
        <f>HYPERLINK("https://azurlane.koumakan.jp/Monarch","Monarch")</f>
        <v>Monarch</v>
      </c>
      <c r="D572" s="26" t="s">
        <v>473</v>
      </c>
      <c r="E572" s="22">
        <v>8155.0</v>
      </c>
      <c r="F572" s="22">
        <v>432.0</v>
      </c>
      <c r="G572" s="22">
        <v>0.0</v>
      </c>
      <c r="H572" s="22">
        <v>0.0</v>
      </c>
      <c r="I572" s="22">
        <v>235.0</v>
      </c>
      <c r="J572" s="22">
        <v>170.0</v>
      </c>
      <c r="K572" s="22">
        <v>36.0</v>
      </c>
      <c r="L572" s="22" t="s">
        <v>83</v>
      </c>
      <c r="M572" s="22">
        <v>28.0</v>
      </c>
      <c r="N572" s="22">
        <v>68.0</v>
      </c>
      <c r="O572" s="22">
        <v>15.0</v>
      </c>
      <c r="P572" s="22">
        <v>0.0</v>
      </c>
      <c r="Q572" s="22">
        <v>16.0</v>
      </c>
      <c r="R572" s="22">
        <v>0.0</v>
      </c>
      <c r="S572" s="22">
        <v>0.0</v>
      </c>
      <c r="T572" s="24" t="s">
        <v>104</v>
      </c>
      <c r="U572" s="58"/>
      <c r="V572" s="75" t="s">
        <v>474</v>
      </c>
      <c r="W572" s="98"/>
      <c r="X572" s="54"/>
      <c r="Y572" s="29"/>
    </row>
    <row r="573">
      <c r="A573" s="49" t="s">
        <v>476</v>
      </c>
      <c r="B573" s="50" t="s">
        <v>66</v>
      </c>
      <c r="C573" s="51" t="str">
        <f>HYPERLINK("https://azurlane.koumakan.jp/Ibuki","Ibuki")</f>
        <v>Ibuki</v>
      </c>
      <c r="D573" s="37" t="s">
        <v>473</v>
      </c>
      <c r="E573" s="33">
        <v>4904.0</v>
      </c>
      <c r="F573" s="33">
        <v>276.0</v>
      </c>
      <c r="G573" s="33">
        <v>295.0</v>
      </c>
      <c r="H573" s="33">
        <v>0.0</v>
      </c>
      <c r="I573" s="33">
        <v>198.0</v>
      </c>
      <c r="J573" s="33">
        <v>189.0</v>
      </c>
      <c r="K573" s="33">
        <v>89.0</v>
      </c>
      <c r="L573" s="33" t="s">
        <v>71</v>
      </c>
      <c r="M573" s="33">
        <v>28.0</v>
      </c>
      <c r="N573" s="33">
        <v>140.0</v>
      </c>
      <c r="O573" s="33">
        <v>15.0</v>
      </c>
      <c r="P573" s="33">
        <v>0.0</v>
      </c>
      <c r="Q573" s="33">
        <v>13.0</v>
      </c>
      <c r="R573" s="33">
        <v>0.0</v>
      </c>
      <c r="S573" s="33">
        <v>0.0</v>
      </c>
      <c r="T573" s="35" t="s">
        <v>143</v>
      </c>
      <c r="U573" s="57"/>
      <c r="V573" s="37" t="s">
        <v>474</v>
      </c>
      <c r="W573" s="52"/>
      <c r="X573" s="53"/>
      <c r="Y573" s="40"/>
    </row>
    <row r="574">
      <c r="A574" s="77" t="s">
        <v>477</v>
      </c>
      <c r="B574" s="78" t="s">
        <v>82</v>
      </c>
      <c r="C574" s="79" t="str">
        <f>HYPERLINK("https://azurlane.koumakan.jp/Izumo","Izumo")</f>
        <v>Izumo</v>
      </c>
      <c r="D574" s="26" t="s">
        <v>473</v>
      </c>
      <c r="E574" s="22">
        <v>8812.0</v>
      </c>
      <c r="F574" s="22">
        <v>437.0</v>
      </c>
      <c r="G574" s="22">
        <v>0.0</v>
      </c>
      <c r="H574" s="22">
        <v>0.0</v>
      </c>
      <c r="I574" s="22">
        <v>242.0</v>
      </c>
      <c r="J574" s="22">
        <v>148.0</v>
      </c>
      <c r="K574" s="22">
        <v>38.0</v>
      </c>
      <c r="L574" s="22" t="s">
        <v>83</v>
      </c>
      <c r="M574" s="22">
        <v>28.0</v>
      </c>
      <c r="N574" s="22">
        <v>68.0</v>
      </c>
      <c r="O574" s="22">
        <v>15.0</v>
      </c>
      <c r="P574" s="22">
        <v>0.0</v>
      </c>
      <c r="Q574" s="22">
        <v>16.0</v>
      </c>
      <c r="R574" s="22">
        <v>0.0</v>
      </c>
      <c r="S574" s="22">
        <v>0.0</v>
      </c>
      <c r="T574" s="24" t="s">
        <v>143</v>
      </c>
      <c r="U574" s="58"/>
      <c r="V574" s="26" t="s">
        <v>474</v>
      </c>
      <c r="W574" s="65"/>
      <c r="X574" s="54"/>
      <c r="Y574" s="29"/>
    </row>
    <row r="575">
      <c r="A575" s="49" t="s">
        <v>478</v>
      </c>
      <c r="B575" s="50" t="s">
        <v>66</v>
      </c>
      <c r="C575" s="51" t="str">
        <f>HYPERLINK("https://azurlane.koumakan.jp/Roon","Roon")</f>
        <v>Roon</v>
      </c>
      <c r="D575" s="37" t="s">
        <v>473</v>
      </c>
      <c r="E575" s="33">
        <v>6055.0</v>
      </c>
      <c r="F575" s="33">
        <v>289.0</v>
      </c>
      <c r="G575" s="33">
        <v>220.0</v>
      </c>
      <c r="H575" s="33">
        <v>0.0</v>
      </c>
      <c r="I575" s="33">
        <v>238.0</v>
      </c>
      <c r="J575" s="33">
        <v>174.0</v>
      </c>
      <c r="K575" s="33">
        <v>80.0</v>
      </c>
      <c r="L575" s="33" t="s">
        <v>71</v>
      </c>
      <c r="M575" s="33">
        <v>26.0</v>
      </c>
      <c r="N575" s="33">
        <v>129.0</v>
      </c>
      <c r="O575" s="33">
        <v>15.0</v>
      </c>
      <c r="P575" s="33">
        <v>0.0</v>
      </c>
      <c r="Q575" s="33">
        <v>13.0</v>
      </c>
      <c r="R575" s="33">
        <v>0.0</v>
      </c>
      <c r="S575" s="33">
        <v>0.0</v>
      </c>
      <c r="T575" s="35" t="s">
        <v>193</v>
      </c>
      <c r="U575" s="57"/>
      <c r="V575" s="37" t="s">
        <v>474</v>
      </c>
      <c r="W575" s="52"/>
      <c r="X575" s="53"/>
      <c r="Y575" s="40"/>
    </row>
    <row r="576">
      <c r="A576" s="77" t="s">
        <v>479</v>
      </c>
      <c r="B576" s="78" t="s">
        <v>66</v>
      </c>
      <c r="C576" s="79" t="str">
        <f>HYPERLINK("https://azurlane.koumakan.jp/Saint_Louis","Saint Louis")</f>
        <v>Saint Louis</v>
      </c>
      <c r="D576" s="26" t="s">
        <v>473</v>
      </c>
      <c r="E576" s="22">
        <v>5485.0</v>
      </c>
      <c r="F576" s="22">
        <v>282.0</v>
      </c>
      <c r="G576" s="22">
        <v>231.0</v>
      </c>
      <c r="H576" s="22">
        <v>0.0</v>
      </c>
      <c r="I576" s="22">
        <v>253.0</v>
      </c>
      <c r="J576" s="22">
        <v>193.0</v>
      </c>
      <c r="K576" s="22">
        <v>83.0</v>
      </c>
      <c r="L576" s="22" t="s">
        <v>71</v>
      </c>
      <c r="M576" s="22">
        <v>26.0</v>
      </c>
      <c r="N576" s="22">
        <v>141.0</v>
      </c>
      <c r="O576" s="22">
        <v>15.0</v>
      </c>
      <c r="P576" s="22">
        <v>0.0</v>
      </c>
      <c r="Q576" s="22">
        <v>13.0</v>
      </c>
      <c r="R576" s="22">
        <v>0.0</v>
      </c>
      <c r="S576" s="22">
        <v>0.0</v>
      </c>
      <c r="T576" s="24" t="s">
        <v>243</v>
      </c>
      <c r="U576" s="58"/>
      <c r="V576" s="26" t="s">
        <v>474</v>
      </c>
      <c r="W576" s="65"/>
      <c r="X576" s="54"/>
      <c r="Y576" s="29"/>
    </row>
    <row r="577">
      <c r="A577" s="49" t="s">
        <v>480</v>
      </c>
      <c r="B577" s="50" t="s">
        <v>52</v>
      </c>
      <c r="C577" s="51" t="str">
        <f>HYPERLINK("https://azurlane.koumakan.jp/Seattle","Seattle")</f>
        <v>Seattle</v>
      </c>
      <c r="D577" s="37" t="s">
        <v>473</v>
      </c>
      <c r="E577" s="33">
        <v>5376.0</v>
      </c>
      <c r="F577" s="33">
        <v>182.0</v>
      </c>
      <c r="G577" s="33">
        <v>0.0</v>
      </c>
      <c r="H577" s="33">
        <v>0.0</v>
      </c>
      <c r="I577" s="33">
        <v>373.0</v>
      </c>
      <c r="J577" s="33">
        <v>158.0</v>
      </c>
      <c r="K577" s="33">
        <v>100.0</v>
      </c>
      <c r="L577" s="33" t="s">
        <v>29</v>
      </c>
      <c r="M577" s="33">
        <v>33.0</v>
      </c>
      <c r="N577" s="33">
        <v>161.0</v>
      </c>
      <c r="O577" s="33">
        <v>15.0</v>
      </c>
      <c r="P577" s="33">
        <v>157.0</v>
      </c>
      <c r="Q577" s="33">
        <v>12.0</v>
      </c>
      <c r="R577" s="33">
        <v>0.0</v>
      </c>
      <c r="S577" s="33">
        <v>0.0</v>
      </c>
      <c r="T577" s="35" t="s">
        <v>37</v>
      </c>
      <c r="U577" s="57"/>
      <c r="V577" s="37" t="s">
        <v>474</v>
      </c>
      <c r="W577" s="38"/>
      <c r="X577" s="53"/>
      <c r="Y577" s="40"/>
    </row>
    <row r="578">
      <c r="A578" s="77" t="s">
        <v>481</v>
      </c>
      <c r="B578" s="78" t="s">
        <v>82</v>
      </c>
      <c r="C578" s="79" t="str">
        <f>HYPERLINK("https://azurlane.koumakan.jp/Georgia","Georgia")</f>
        <v>Georgia</v>
      </c>
      <c r="D578" s="26" t="s">
        <v>473</v>
      </c>
      <c r="E578" s="22">
        <v>8486.0</v>
      </c>
      <c r="F578" s="22">
        <v>445.0</v>
      </c>
      <c r="G578" s="22">
        <v>0.0</v>
      </c>
      <c r="H578" s="22">
        <v>0.0</v>
      </c>
      <c r="I578" s="22">
        <v>418.0</v>
      </c>
      <c r="J578" s="22">
        <v>166.0</v>
      </c>
      <c r="K578" s="22">
        <v>31.0</v>
      </c>
      <c r="L578" s="22" t="s">
        <v>83</v>
      </c>
      <c r="M578" s="22">
        <v>33.0</v>
      </c>
      <c r="N578" s="22">
        <v>75.0</v>
      </c>
      <c r="O578" s="22">
        <v>15.0</v>
      </c>
      <c r="P578" s="22">
        <v>0.0</v>
      </c>
      <c r="Q578" s="22">
        <v>16.0</v>
      </c>
      <c r="R578" s="22">
        <v>0.0</v>
      </c>
      <c r="S578" s="22">
        <v>0.0</v>
      </c>
      <c r="T578" s="24" t="s">
        <v>37</v>
      </c>
      <c r="U578" s="58"/>
      <c r="V578" s="26" t="s">
        <v>474</v>
      </c>
      <c r="W578" s="27"/>
      <c r="X578" s="54"/>
      <c r="Y578" s="29"/>
    </row>
    <row r="579">
      <c r="A579" s="49" t="s">
        <v>482</v>
      </c>
      <c r="B579" s="50" t="s">
        <v>27</v>
      </c>
      <c r="C579" s="51" t="str">
        <f>HYPERLINK("https://azurlane.koumakan.jp/Kitakaze","Kitakaze")</f>
        <v>Kitakaze</v>
      </c>
      <c r="D579" s="37" t="s">
        <v>473</v>
      </c>
      <c r="E579" s="33">
        <v>2702.0</v>
      </c>
      <c r="F579" s="33">
        <v>88.0</v>
      </c>
      <c r="G579" s="33">
        <v>401.0</v>
      </c>
      <c r="H579" s="33">
        <v>0.0</v>
      </c>
      <c r="I579" s="33">
        <v>201.0</v>
      </c>
      <c r="J579" s="33">
        <v>226.0</v>
      </c>
      <c r="K579" s="33">
        <v>246.0</v>
      </c>
      <c r="L579" s="33" t="s">
        <v>29</v>
      </c>
      <c r="M579" s="33">
        <v>44.0</v>
      </c>
      <c r="N579" s="33">
        <v>225.0</v>
      </c>
      <c r="O579" s="33">
        <v>15.0</v>
      </c>
      <c r="P579" s="33">
        <v>202.0</v>
      </c>
      <c r="Q579" s="33">
        <v>11.0</v>
      </c>
      <c r="R579" s="33">
        <v>0.0</v>
      </c>
      <c r="S579" s="33">
        <v>0.0</v>
      </c>
      <c r="T579" s="35" t="s">
        <v>143</v>
      </c>
      <c r="U579" s="57"/>
      <c r="V579" s="37" t="s">
        <v>474</v>
      </c>
      <c r="W579" s="38"/>
      <c r="X579" s="53"/>
      <c r="Y579" s="40"/>
    </row>
    <row r="580">
      <c r="A580" s="77" t="s">
        <v>483</v>
      </c>
      <c r="B580" s="78" t="s">
        <v>484</v>
      </c>
      <c r="C580" s="79" t="str">
        <f>HYPERLINK("https://azurlane.koumakan.jp/Azuma","Azuma")</f>
        <v>Azuma</v>
      </c>
      <c r="D580" s="26" t="s">
        <v>485</v>
      </c>
      <c r="E580" s="22">
        <v>7717.0</v>
      </c>
      <c r="F580" s="22">
        <v>314.0</v>
      </c>
      <c r="G580" s="22">
        <v>0.0</v>
      </c>
      <c r="H580" s="22">
        <v>0.0</v>
      </c>
      <c r="I580" s="22">
        <v>231.0</v>
      </c>
      <c r="J580" s="22">
        <v>172.0</v>
      </c>
      <c r="K580" s="22">
        <v>51.0</v>
      </c>
      <c r="L580" s="22" t="s">
        <v>71</v>
      </c>
      <c r="M580" s="22">
        <v>27.0</v>
      </c>
      <c r="N580" s="22">
        <v>129.0</v>
      </c>
      <c r="O580" s="22">
        <v>25.0</v>
      </c>
      <c r="P580" s="22">
        <v>0.0</v>
      </c>
      <c r="Q580" s="22">
        <v>16.0</v>
      </c>
      <c r="R580" s="22">
        <v>0.0</v>
      </c>
      <c r="S580" s="22">
        <v>0.0</v>
      </c>
      <c r="T580" s="24" t="s">
        <v>143</v>
      </c>
      <c r="U580" s="58"/>
      <c r="V580" s="26" t="s">
        <v>474</v>
      </c>
      <c r="W580" s="27"/>
      <c r="X580" s="54"/>
      <c r="Y580" s="29"/>
    </row>
    <row r="581">
      <c r="A581" s="49" t="s">
        <v>486</v>
      </c>
      <c r="B581" s="50" t="s">
        <v>82</v>
      </c>
      <c r="C581" s="51" t="str">
        <f>HYPERLINK("https://azurlane.koumakan.jp/Friedrich_der_Grosse","Friedrich der Große")</f>
        <v>Friedrich der Große</v>
      </c>
      <c r="D581" s="37" t="s">
        <v>485</v>
      </c>
      <c r="E581" s="63">
        <v>10122.0</v>
      </c>
      <c r="F581" s="33">
        <v>458.0</v>
      </c>
      <c r="G581" s="33">
        <v>0.0</v>
      </c>
      <c r="H581" s="33">
        <v>0.0</v>
      </c>
      <c r="I581" s="33">
        <v>246.0</v>
      </c>
      <c r="J581" s="33">
        <v>159.0</v>
      </c>
      <c r="K581" s="33">
        <v>28.0</v>
      </c>
      <c r="L581" s="33" t="s">
        <v>83</v>
      </c>
      <c r="M581" s="33">
        <v>30.0</v>
      </c>
      <c r="N581" s="33">
        <v>67.0</v>
      </c>
      <c r="O581" s="33">
        <v>0.0</v>
      </c>
      <c r="P581" s="33">
        <v>0.0</v>
      </c>
      <c r="Q581" s="33">
        <v>19.0</v>
      </c>
      <c r="R581" s="33">
        <v>0.0</v>
      </c>
      <c r="S581" s="33">
        <v>0.0</v>
      </c>
      <c r="T581" s="35" t="s">
        <v>193</v>
      </c>
      <c r="U581" s="57"/>
      <c r="V581" s="37" t="s">
        <v>474</v>
      </c>
      <c r="W581" s="38"/>
      <c r="X581" s="53"/>
      <c r="Y581" s="40"/>
    </row>
    <row r="582">
      <c r="A582" s="77" t="s">
        <v>487</v>
      </c>
      <c r="B582" s="78" t="s">
        <v>82</v>
      </c>
      <c r="C582" s="79" t="str">
        <f>HYPERLINK("https://azurlane.koumakan.jp/Gascogne","Gascogne")</f>
        <v>Gascogne</v>
      </c>
      <c r="D582" s="26" t="s">
        <v>473</v>
      </c>
      <c r="E582" s="22">
        <v>8047.0</v>
      </c>
      <c r="F582" s="22">
        <v>439.0</v>
      </c>
      <c r="G582" s="22">
        <v>0.0</v>
      </c>
      <c r="H582" s="22">
        <v>0.0</v>
      </c>
      <c r="I582" s="22">
        <v>247.0</v>
      </c>
      <c r="J582" s="22">
        <v>170.0</v>
      </c>
      <c r="K582" s="22">
        <v>37.0</v>
      </c>
      <c r="L582" s="22" t="s">
        <v>83</v>
      </c>
      <c r="M582" s="22">
        <v>32.0</v>
      </c>
      <c r="N582" s="22">
        <v>73.0</v>
      </c>
      <c r="O582" s="22">
        <v>15.0</v>
      </c>
      <c r="P582" s="22">
        <v>0.0</v>
      </c>
      <c r="Q582" s="22">
        <v>16.0</v>
      </c>
      <c r="R582" s="22">
        <v>0.0</v>
      </c>
      <c r="S582" s="22">
        <v>0.0</v>
      </c>
      <c r="T582" s="24" t="s">
        <v>247</v>
      </c>
      <c r="U582" s="58"/>
      <c r="V582" s="26" t="s">
        <v>474</v>
      </c>
      <c r="W582" s="65"/>
      <c r="X582" s="54"/>
      <c r="Y582" s="29"/>
    </row>
    <row r="583">
      <c r="A583" s="68" t="s">
        <v>488</v>
      </c>
      <c r="B583" s="69" t="s">
        <v>66</v>
      </c>
      <c r="C583" s="80" t="s">
        <v>489</v>
      </c>
      <c r="D583" s="35" t="s">
        <v>473</v>
      </c>
      <c r="E583" s="35">
        <v>5260.0</v>
      </c>
      <c r="F583" s="35">
        <v>288.0</v>
      </c>
      <c r="G583" s="35">
        <v>212.0</v>
      </c>
      <c r="H583" s="33">
        <v>0.0</v>
      </c>
      <c r="I583" s="35">
        <v>418.0</v>
      </c>
      <c r="J583" s="35">
        <v>158.0</v>
      </c>
      <c r="K583" s="35">
        <v>78.0</v>
      </c>
      <c r="L583" s="35" t="s">
        <v>71</v>
      </c>
      <c r="M583" s="35">
        <v>27.0</v>
      </c>
      <c r="N583" s="35">
        <v>133.0</v>
      </c>
      <c r="O583" s="35">
        <v>15.0</v>
      </c>
      <c r="P583" s="35">
        <v>0.0</v>
      </c>
      <c r="Q583" s="35">
        <v>13.0</v>
      </c>
      <c r="R583" s="35">
        <v>0.0</v>
      </c>
      <c r="S583" s="35">
        <v>0.0</v>
      </c>
      <c r="T583" s="35" t="s">
        <v>104</v>
      </c>
      <c r="U583" s="71"/>
      <c r="V583" s="35" t="s">
        <v>474</v>
      </c>
      <c r="W583" s="52"/>
      <c r="X583" s="95"/>
      <c r="Y583" s="74"/>
    </row>
    <row r="584">
      <c r="A584" s="41" t="s">
        <v>490</v>
      </c>
      <c r="B584" s="42" t="s">
        <v>66</v>
      </c>
      <c r="C584" s="43" t="s">
        <v>491</v>
      </c>
      <c r="D584" s="24" t="s">
        <v>485</v>
      </c>
      <c r="E584" s="24">
        <v>5800.0</v>
      </c>
      <c r="F584" s="24">
        <v>295.0</v>
      </c>
      <c r="G584" s="24">
        <v>250.0</v>
      </c>
      <c r="H584" s="22">
        <v>0.0</v>
      </c>
      <c r="I584" s="24">
        <v>295.0</v>
      </c>
      <c r="J584" s="24">
        <v>141.0</v>
      </c>
      <c r="K584" s="24">
        <v>77.0</v>
      </c>
      <c r="L584" s="24" t="s">
        <v>71</v>
      </c>
      <c r="M584" s="24">
        <v>26.0</v>
      </c>
      <c r="N584" s="24">
        <v>149.0</v>
      </c>
      <c r="O584" s="24">
        <v>0.0</v>
      </c>
      <c r="P584" s="24">
        <v>0.0</v>
      </c>
      <c r="Q584" s="24">
        <v>15.0</v>
      </c>
      <c r="R584" s="24">
        <v>0.0</v>
      </c>
      <c r="S584" s="24">
        <v>0.0</v>
      </c>
      <c r="T584" s="24" t="s">
        <v>104</v>
      </c>
      <c r="U584" s="45"/>
      <c r="V584" s="24" t="s">
        <v>474</v>
      </c>
      <c r="W584" s="65"/>
      <c r="X584" s="47"/>
      <c r="Y584" s="48"/>
    </row>
    <row r="585">
      <c r="A585" s="68" t="s">
        <v>492</v>
      </c>
      <c r="B585" s="69" t="s">
        <v>52</v>
      </c>
      <c r="C585" s="80" t="s">
        <v>493</v>
      </c>
      <c r="D585" s="35" t="s">
        <v>473</v>
      </c>
      <c r="E585" s="35">
        <v>5382.0</v>
      </c>
      <c r="F585" s="35">
        <v>171.0</v>
      </c>
      <c r="G585" s="35">
        <v>197.0</v>
      </c>
      <c r="H585" s="33">
        <v>0.0</v>
      </c>
      <c r="I585" s="35">
        <v>361.0</v>
      </c>
      <c r="J585" s="35">
        <v>185.0</v>
      </c>
      <c r="K585" s="35">
        <v>78.0</v>
      </c>
      <c r="L585" s="35" t="s">
        <v>71</v>
      </c>
      <c r="M585" s="35">
        <v>25.0</v>
      </c>
      <c r="N585" s="35">
        <v>131.0</v>
      </c>
      <c r="O585" s="35">
        <v>15.0</v>
      </c>
      <c r="P585" s="35">
        <v>122.0</v>
      </c>
      <c r="Q585" s="35">
        <v>12.0</v>
      </c>
      <c r="R585" s="35">
        <v>0.0</v>
      </c>
      <c r="S585" s="35">
        <v>0.0</v>
      </c>
      <c r="T585" s="35" t="s">
        <v>193</v>
      </c>
      <c r="U585" s="71"/>
      <c r="V585" s="35" t="s">
        <v>474</v>
      </c>
      <c r="W585" s="52"/>
      <c r="X585" s="95"/>
      <c r="Y585" s="74"/>
    </row>
    <row r="586">
      <c r="A586" s="41" t="s">
        <v>494</v>
      </c>
      <c r="B586" s="42" t="s">
        <v>126</v>
      </c>
      <c r="C586" s="43" t="s">
        <v>495</v>
      </c>
      <c r="D586" s="24" t="s">
        <v>473</v>
      </c>
      <c r="E586" s="24">
        <v>7296.0</v>
      </c>
      <c r="F586" s="24">
        <v>369.0</v>
      </c>
      <c r="G586" s="24">
        <v>246.0</v>
      </c>
      <c r="H586" s="22">
        <v>0.0</v>
      </c>
      <c r="I586" s="24">
        <v>345.0</v>
      </c>
      <c r="J586" s="24">
        <v>173.0</v>
      </c>
      <c r="K586" s="24">
        <v>38.0</v>
      </c>
      <c r="L586" s="24" t="s">
        <v>83</v>
      </c>
      <c r="M586" s="24">
        <v>30.0</v>
      </c>
      <c r="N586" s="24">
        <v>63.0</v>
      </c>
      <c r="O586" s="24">
        <v>15.0</v>
      </c>
      <c r="P586" s="24">
        <v>0.0</v>
      </c>
      <c r="Q586" s="24">
        <v>16.0</v>
      </c>
      <c r="R586" s="24">
        <v>0.0</v>
      </c>
      <c r="S586" s="24">
        <v>0.0</v>
      </c>
      <c r="T586" s="24" t="s">
        <v>193</v>
      </c>
      <c r="U586" s="45"/>
      <c r="V586" s="24" t="s">
        <v>474</v>
      </c>
      <c r="W586" s="65"/>
      <c r="X586" s="47"/>
      <c r="Y586" s="48"/>
    </row>
    <row r="587">
      <c r="A587" s="68" t="s">
        <v>496</v>
      </c>
      <c r="B587" s="69" t="s">
        <v>82</v>
      </c>
      <c r="C587" s="80" t="s">
        <v>497</v>
      </c>
      <c r="D587" s="35" t="s">
        <v>473</v>
      </c>
      <c r="E587" s="35">
        <v>7058.0</v>
      </c>
      <c r="F587" s="105">
        <v>464.0</v>
      </c>
      <c r="G587" s="35">
        <v>0.0</v>
      </c>
      <c r="H587" s="33">
        <v>0.0</v>
      </c>
      <c r="I587" s="35">
        <v>247.0</v>
      </c>
      <c r="J587" s="35">
        <v>183.0</v>
      </c>
      <c r="K587" s="35">
        <v>37.0</v>
      </c>
      <c r="L587" s="35" t="s">
        <v>83</v>
      </c>
      <c r="M587" s="35">
        <v>32.0</v>
      </c>
      <c r="N587" s="35">
        <v>79.0</v>
      </c>
      <c r="O587" s="35">
        <v>15.0</v>
      </c>
      <c r="P587" s="35">
        <v>0.0</v>
      </c>
      <c r="Q587" s="35">
        <v>16.0</v>
      </c>
      <c r="R587" s="35">
        <v>0.0</v>
      </c>
      <c r="S587" s="35">
        <v>0.0</v>
      </c>
      <c r="T587" s="35" t="s">
        <v>243</v>
      </c>
      <c r="U587" s="71"/>
      <c r="V587" s="35" t="s">
        <v>474</v>
      </c>
      <c r="W587" s="52"/>
      <c r="X587" s="95"/>
      <c r="Y587" s="74"/>
    </row>
    <row r="588">
      <c r="A588" s="41" t="s">
        <v>498</v>
      </c>
      <c r="B588" s="42" t="s">
        <v>66</v>
      </c>
      <c r="C588" s="99" t="s">
        <v>499</v>
      </c>
      <c r="D588" s="24" t="s">
        <v>473</v>
      </c>
      <c r="E588" s="24">
        <v>6399.0</v>
      </c>
      <c r="F588" s="24">
        <v>257.0</v>
      </c>
      <c r="G588" s="24">
        <v>219.0</v>
      </c>
      <c r="H588" s="24">
        <v>0.0</v>
      </c>
      <c r="I588" s="24">
        <v>232.0</v>
      </c>
      <c r="J588" s="24">
        <v>166.0</v>
      </c>
      <c r="K588" s="24">
        <v>82.0</v>
      </c>
      <c r="L588" s="24" t="s">
        <v>71</v>
      </c>
      <c r="M588" s="24">
        <v>26.0</v>
      </c>
      <c r="N588" s="24">
        <v>152.0</v>
      </c>
      <c r="O588" s="24">
        <v>0.0</v>
      </c>
      <c r="P588" s="24">
        <v>0.0</v>
      </c>
      <c r="Q588" s="24">
        <v>13.0</v>
      </c>
      <c r="R588" s="24">
        <v>0.0</v>
      </c>
      <c r="S588" s="24">
        <v>0.0</v>
      </c>
      <c r="T588" s="24" t="s">
        <v>37</v>
      </c>
      <c r="U588" s="45"/>
      <c r="V588" s="24" t="s">
        <v>474</v>
      </c>
      <c r="W588" s="46"/>
      <c r="X588" s="47"/>
      <c r="Y588" s="48"/>
    </row>
    <row r="589">
      <c r="A589" s="68" t="s">
        <v>500</v>
      </c>
      <c r="B589" s="69" t="s">
        <v>95</v>
      </c>
      <c r="C589" s="70" t="s">
        <v>501</v>
      </c>
      <c r="D589" s="35" t="s">
        <v>485</v>
      </c>
      <c r="E589" s="35">
        <v>8549.0</v>
      </c>
      <c r="F589" s="35">
        <v>0.0</v>
      </c>
      <c r="G589" s="35">
        <v>0.0</v>
      </c>
      <c r="H589" s="35">
        <v>462.0</v>
      </c>
      <c r="I589" s="35">
        <v>330.0</v>
      </c>
      <c r="J589" s="35">
        <v>128.0</v>
      </c>
      <c r="K589" s="35">
        <v>59.0</v>
      </c>
      <c r="L589" s="35" t="s">
        <v>83</v>
      </c>
      <c r="M589" s="35">
        <v>34.0</v>
      </c>
      <c r="N589" s="35">
        <v>99.0</v>
      </c>
      <c r="O589" s="35">
        <v>0.0</v>
      </c>
      <c r="P589" s="35">
        <v>0.0</v>
      </c>
      <c r="Q589" s="35">
        <v>17.0</v>
      </c>
      <c r="R589" s="35">
        <v>0.0</v>
      </c>
      <c r="S589" s="35">
        <v>0.0</v>
      </c>
      <c r="T589" s="35" t="s">
        <v>143</v>
      </c>
      <c r="U589" s="71"/>
      <c r="V589" s="35" t="s">
        <v>474</v>
      </c>
      <c r="W589" s="97"/>
      <c r="X589" s="95"/>
      <c r="Y589" s="74"/>
    </row>
    <row r="590">
      <c r="A590" s="41" t="s">
        <v>502</v>
      </c>
      <c r="B590" s="42" t="s">
        <v>484</v>
      </c>
      <c r="C590" s="99" t="s">
        <v>503</v>
      </c>
      <c r="D590" s="24" t="s">
        <v>485</v>
      </c>
      <c r="E590" s="24">
        <v>8056.0</v>
      </c>
      <c r="F590" s="24">
        <v>288.0</v>
      </c>
      <c r="G590" s="24">
        <v>206.0</v>
      </c>
      <c r="H590" s="24">
        <v>0.0</v>
      </c>
      <c r="I590" s="24">
        <v>257.0</v>
      </c>
      <c r="J590" s="24">
        <v>170.0</v>
      </c>
      <c r="K590" s="24">
        <v>53.0</v>
      </c>
      <c r="L590" s="24" t="s">
        <v>83</v>
      </c>
      <c r="M590" s="24">
        <v>26.0</v>
      </c>
      <c r="N590" s="24">
        <v>134.0</v>
      </c>
      <c r="O590" s="24">
        <v>0.0</v>
      </c>
      <c r="P590" s="24">
        <v>0.0</v>
      </c>
      <c r="Q590" s="24">
        <v>16.0</v>
      </c>
      <c r="R590" s="24">
        <v>0.0</v>
      </c>
      <c r="S590" s="24">
        <v>0.0</v>
      </c>
      <c r="T590" s="24" t="s">
        <v>193</v>
      </c>
      <c r="U590" s="45"/>
      <c r="V590" s="24" t="s">
        <v>474</v>
      </c>
      <c r="W590" s="46"/>
      <c r="X590" s="47"/>
      <c r="Y590" s="48"/>
    </row>
    <row r="591">
      <c r="A591" s="68" t="s">
        <v>504</v>
      </c>
      <c r="B591" s="69" t="s">
        <v>95</v>
      </c>
      <c r="C591" s="70" t="s">
        <v>505</v>
      </c>
      <c r="D591" s="35" t="s">
        <v>473</v>
      </c>
      <c r="E591" s="35">
        <v>7402.0</v>
      </c>
      <c r="F591" s="35">
        <v>0.0</v>
      </c>
      <c r="G591" s="35">
        <v>0.0</v>
      </c>
      <c r="H591" s="35">
        <v>439.0</v>
      </c>
      <c r="I591" s="35">
        <v>334.0</v>
      </c>
      <c r="J591" s="35">
        <v>121.0</v>
      </c>
      <c r="K591" s="35">
        <v>49.0</v>
      </c>
      <c r="L591" s="35" t="s">
        <v>71</v>
      </c>
      <c r="M591" s="35">
        <v>31.0</v>
      </c>
      <c r="N591" s="35">
        <v>111.0</v>
      </c>
      <c r="O591" s="35">
        <v>0.0</v>
      </c>
      <c r="P591" s="35">
        <v>0.0</v>
      </c>
      <c r="Q591" s="35">
        <v>14.0</v>
      </c>
      <c r="R591" s="35">
        <v>0.0</v>
      </c>
      <c r="S591" s="35">
        <v>0.0</v>
      </c>
      <c r="T591" s="35" t="s">
        <v>193</v>
      </c>
      <c r="U591" s="71"/>
      <c r="V591" s="35" t="s">
        <v>474</v>
      </c>
      <c r="W591" s="97"/>
      <c r="X591" s="95"/>
      <c r="Y591" s="74"/>
    </row>
    <row r="592" ht="15.75" customHeight="1">
      <c r="A592" s="41" t="s">
        <v>506</v>
      </c>
      <c r="B592" s="42" t="s">
        <v>82</v>
      </c>
      <c r="C592" s="99" t="s">
        <v>507</v>
      </c>
      <c r="D592" s="24" t="s">
        <v>473</v>
      </c>
      <c r="E592" s="24">
        <v>8621.0</v>
      </c>
      <c r="F592" s="24">
        <v>441.0</v>
      </c>
      <c r="G592" s="24">
        <v>0.0</v>
      </c>
      <c r="H592" s="24">
        <v>0.0</v>
      </c>
      <c r="I592" s="24">
        <v>264.0</v>
      </c>
      <c r="J592" s="24">
        <v>158.0</v>
      </c>
      <c r="K592" s="24">
        <v>41.0</v>
      </c>
      <c r="L592" s="24" t="s">
        <v>83</v>
      </c>
      <c r="M592" s="24">
        <v>32.0</v>
      </c>
      <c r="N592" s="24">
        <v>66.0</v>
      </c>
      <c r="O592" s="24">
        <v>0.0</v>
      </c>
      <c r="P592" s="24">
        <v>0.0</v>
      </c>
      <c r="Q592" s="24">
        <v>16.0</v>
      </c>
      <c r="R592" s="24">
        <v>0.0</v>
      </c>
      <c r="S592" s="24">
        <v>0.0</v>
      </c>
      <c r="T592" s="24" t="s">
        <v>269</v>
      </c>
      <c r="U592" s="45"/>
      <c r="V592" s="24" t="s">
        <v>474</v>
      </c>
      <c r="W592" s="120"/>
      <c r="X592" s="47"/>
      <c r="Y592" s="48"/>
    </row>
    <row r="593">
      <c r="A593" s="68">
        <v>522.0</v>
      </c>
      <c r="B593" s="69" t="s">
        <v>27</v>
      </c>
      <c r="C593" s="70" t="s">
        <v>508</v>
      </c>
      <c r="D593" s="35" t="s">
        <v>32</v>
      </c>
      <c r="E593" s="35">
        <v>2167.0</v>
      </c>
      <c r="F593" s="35">
        <v>143.0</v>
      </c>
      <c r="G593" s="35">
        <v>274.0</v>
      </c>
      <c r="H593" s="35">
        <v>0.0</v>
      </c>
      <c r="I593" s="35">
        <v>135.0</v>
      </c>
      <c r="J593" s="35">
        <v>202.0</v>
      </c>
      <c r="K593" s="35">
        <v>314.0</v>
      </c>
      <c r="L593" s="35" t="s">
        <v>29</v>
      </c>
      <c r="M593" s="35">
        <v>54.0</v>
      </c>
      <c r="N593" s="35">
        <v>205.0</v>
      </c>
      <c r="O593" s="35">
        <v>75.0</v>
      </c>
      <c r="P593" s="35">
        <v>198.0</v>
      </c>
      <c r="Q593" s="35">
        <v>10.0</v>
      </c>
      <c r="R593" s="35">
        <v>0.0</v>
      </c>
      <c r="S593" s="35">
        <v>0.0</v>
      </c>
      <c r="T593" s="35" t="s">
        <v>243</v>
      </c>
      <c r="U593" s="71"/>
      <c r="V593" s="35" t="s">
        <v>76</v>
      </c>
      <c r="W593" s="97"/>
      <c r="X593" s="95"/>
      <c r="Y593" s="74"/>
    </row>
    <row r="594">
      <c r="A594" s="41">
        <v>523.0</v>
      </c>
      <c r="B594" s="42" t="s">
        <v>27</v>
      </c>
      <c r="C594" s="99" t="s">
        <v>509</v>
      </c>
      <c r="D594" s="24" t="s">
        <v>28</v>
      </c>
      <c r="E594" s="24">
        <v>1914.0</v>
      </c>
      <c r="F594" s="24">
        <v>110.0</v>
      </c>
      <c r="G594" s="24">
        <v>274.0</v>
      </c>
      <c r="H594" s="24">
        <v>0.0</v>
      </c>
      <c r="I594" s="24">
        <v>157.0</v>
      </c>
      <c r="J594" s="24">
        <v>209.0</v>
      </c>
      <c r="K594" s="24">
        <v>272.0</v>
      </c>
      <c r="L594" s="24" t="s">
        <v>29</v>
      </c>
      <c r="M594" s="24">
        <v>43.0</v>
      </c>
      <c r="N594" s="24">
        <v>212.0</v>
      </c>
      <c r="O594" s="24">
        <v>35.0</v>
      </c>
      <c r="P594" s="24">
        <v>214.0</v>
      </c>
      <c r="Q594" s="24">
        <v>9.0</v>
      </c>
      <c r="R594" s="24">
        <v>0.0</v>
      </c>
      <c r="S594" s="24">
        <v>0.0</v>
      </c>
      <c r="T594" s="24" t="s">
        <v>243</v>
      </c>
      <c r="U594" s="45"/>
      <c r="V594" s="24" t="s">
        <v>76</v>
      </c>
      <c r="W594" s="46"/>
      <c r="X594" s="47"/>
      <c r="Y594" s="48"/>
    </row>
    <row r="595">
      <c r="A595" s="68" t="s">
        <v>510</v>
      </c>
      <c r="B595" s="69" t="s">
        <v>52</v>
      </c>
      <c r="C595" s="70" t="s">
        <v>511</v>
      </c>
      <c r="D595" s="35" t="s">
        <v>32</v>
      </c>
      <c r="E595" s="35">
        <v>4655.0</v>
      </c>
      <c r="F595" s="35">
        <v>181.0</v>
      </c>
      <c r="G595" s="35">
        <v>374.0</v>
      </c>
      <c r="H595" s="35">
        <v>0.0</v>
      </c>
      <c r="I595" s="35">
        <v>395.0</v>
      </c>
      <c r="J595" s="35">
        <v>195.0</v>
      </c>
      <c r="K595" s="35">
        <v>121.0</v>
      </c>
      <c r="L595" s="35" t="s">
        <v>29</v>
      </c>
      <c r="M595" s="35">
        <v>35.0</v>
      </c>
      <c r="N595" s="35">
        <v>163.0</v>
      </c>
      <c r="O595" s="35">
        <v>55.0</v>
      </c>
      <c r="P595" s="35">
        <v>165.0</v>
      </c>
      <c r="Q595" s="35">
        <v>11.0</v>
      </c>
      <c r="R595" s="35">
        <v>0.0</v>
      </c>
      <c r="S595" s="35">
        <v>0.0</v>
      </c>
      <c r="T595" s="35" t="s">
        <v>512</v>
      </c>
      <c r="U595" s="71"/>
      <c r="V595" s="35" t="s">
        <v>76</v>
      </c>
      <c r="W595" s="97"/>
      <c r="X595" s="95"/>
      <c r="Y595" s="74"/>
    </row>
    <row r="596">
      <c r="A596" s="41" t="s">
        <v>513</v>
      </c>
      <c r="B596" s="42" t="s">
        <v>52</v>
      </c>
      <c r="C596" s="99" t="s">
        <v>514</v>
      </c>
      <c r="D596" s="24" t="s">
        <v>28</v>
      </c>
      <c r="E596" s="24">
        <v>3653.0</v>
      </c>
      <c r="F596" s="24">
        <v>142.0</v>
      </c>
      <c r="G596" s="24">
        <v>290.0</v>
      </c>
      <c r="H596" s="24">
        <v>0.0</v>
      </c>
      <c r="I596" s="24">
        <v>348.0</v>
      </c>
      <c r="J596" s="24">
        <v>181.0</v>
      </c>
      <c r="K596" s="24">
        <v>120.0</v>
      </c>
      <c r="L596" s="24" t="s">
        <v>29</v>
      </c>
      <c r="M596" s="24">
        <v>33.0</v>
      </c>
      <c r="N596" s="24">
        <v>166.0</v>
      </c>
      <c r="O596" s="24">
        <v>55.0</v>
      </c>
      <c r="P596" s="24">
        <v>144.0</v>
      </c>
      <c r="Q596" s="24">
        <v>10.0</v>
      </c>
      <c r="R596" s="24">
        <v>0.0</v>
      </c>
      <c r="S596" s="24">
        <v>0.0</v>
      </c>
      <c r="T596" s="24" t="s">
        <v>512</v>
      </c>
      <c r="U596" s="45"/>
      <c r="V596" s="24" t="s">
        <v>76</v>
      </c>
      <c r="W596" s="46"/>
      <c r="X596" s="47"/>
      <c r="Y596" s="48"/>
    </row>
    <row r="597">
      <c r="A597" s="68">
        <v>524.0</v>
      </c>
      <c r="B597" s="69" t="s">
        <v>66</v>
      </c>
      <c r="C597" s="70" t="s">
        <v>515</v>
      </c>
      <c r="D597" s="35" t="s">
        <v>28</v>
      </c>
      <c r="E597" s="35">
        <v>4123.0</v>
      </c>
      <c r="F597" s="35">
        <v>240.0</v>
      </c>
      <c r="G597" s="35">
        <v>259.0</v>
      </c>
      <c r="H597" s="35">
        <v>0.0</v>
      </c>
      <c r="I597" s="35">
        <v>261.0</v>
      </c>
      <c r="J597" s="35">
        <v>182.0</v>
      </c>
      <c r="K597" s="35">
        <v>59.0</v>
      </c>
      <c r="L597" s="35" t="s">
        <v>71</v>
      </c>
      <c r="M597" s="35">
        <v>32.0</v>
      </c>
      <c r="N597" s="35">
        <v>135.0</v>
      </c>
      <c r="O597" s="35">
        <v>45.0</v>
      </c>
      <c r="P597" s="35">
        <v>0.0</v>
      </c>
      <c r="Q597" s="35">
        <v>11.0</v>
      </c>
      <c r="R597" s="35">
        <v>0.0</v>
      </c>
      <c r="S597" s="35">
        <v>0.0</v>
      </c>
      <c r="T597" s="35" t="s">
        <v>247</v>
      </c>
      <c r="U597" s="71"/>
      <c r="V597" s="35" t="s">
        <v>76</v>
      </c>
      <c r="W597" s="97"/>
      <c r="X597" s="95"/>
      <c r="Y597" s="74"/>
    </row>
    <row r="598">
      <c r="A598" s="41">
        <v>521.0</v>
      </c>
      <c r="B598" s="42" t="s">
        <v>66</v>
      </c>
      <c r="C598" s="99" t="s">
        <v>516</v>
      </c>
      <c r="D598" s="24" t="s">
        <v>32</v>
      </c>
      <c r="E598" s="24">
        <v>5025.0</v>
      </c>
      <c r="F598" s="24">
        <v>246.0</v>
      </c>
      <c r="G598" s="24">
        <v>0.0</v>
      </c>
      <c r="H598" s="24">
        <v>0.0</v>
      </c>
      <c r="I598" s="24">
        <v>271.0</v>
      </c>
      <c r="J598" s="24">
        <v>185.0</v>
      </c>
      <c r="K598" s="24">
        <v>61.0</v>
      </c>
      <c r="L598" s="24" t="s">
        <v>71</v>
      </c>
      <c r="M598" s="24">
        <v>26.0</v>
      </c>
      <c r="N598" s="24">
        <v>139.0</v>
      </c>
      <c r="O598" s="24">
        <v>76.0</v>
      </c>
      <c r="P598" s="24">
        <v>0.0</v>
      </c>
      <c r="Q598" s="24">
        <v>12.0</v>
      </c>
      <c r="R598" s="24">
        <v>0.0</v>
      </c>
      <c r="S598" s="24">
        <v>0.0</v>
      </c>
      <c r="T598" s="24" t="s">
        <v>37</v>
      </c>
      <c r="U598" s="127" t="s">
        <v>517</v>
      </c>
      <c r="V598" s="24" t="s">
        <v>518</v>
      </c>
      <c r="W598" s="46"/>
      <c r="X598" s="47"/>
      <c r="Y598" s="48"/>
    </row>
    <row r="599">
      <c r="A599" s="68" t="s">
        <v>519</v>
      </c>
      <c r="B599" s="69" t="s">
        <v>66</v>
      </c>
      <c r="C599" s="70" t="s">
        <v>520</v>
      </c>
      <c r="D599" s="35" t="s">
        <v>28</v>
      </c>
      <c r="E599" s="35">
        <v>4111.0</v>
      </c>
      <c r="F599" s="35">
        <v>240.0</v>
      </c>
      <c r="G599" s="35">
        <v>218.0</v>
      </c>
      <c r="H599" s="35">
        <v>0.0</v>
      </c>
      <c r="I599" s="35">
        <v>213.0</v>
      </c>
      <c r="J599" s="35">
        <v>181.0</v>
      </c>
      <c r="K599" s="35">
        <v>40.0</v>
      </c>
      <c r="L599" s="35" t="s">
        <v>71</v>
      </c>
      <c r="M599" s="35">
        <v>24.0</v>
      </c>
      <c r="N599" s="35">
        <v>131.0</v>
      </c>
      <c r="O599" s="35">
        <v>55.0</v>
      </c>
      <c r="P599" s="35">
        <v>0.0</v>
      </c>
      <c r="Q599" s="35">
        <v>11.0</v>
      </c>
      <c r="R599" s="35">
        <v>0.0</v>
      </c>
      <c r="S599" s="35">
        <v>0.0</v>
      </c>
      <c r="T599" s="35" t="s">
        <v>512</v>
      </c>
      <c r="U599" s="71"/>
      <c r="V599" s="35" t="s">
        <v>76</v>
      </c>
      <c r="W599" s="97"/>
      <c r="X599" s="95"/>
      <c r="Y599" s="74"/>
    </row>
    <row r="600">
      <c r="A600" s="41" t="s">
        <v>521</v>
      </c>
      <c r="B600" s="42" t="s">
        <v>66</v>
      </c>
      <c r="C600" s="99" t="s">
        <v>522</v>
      </c>
      <c r="D600" s="24" t="s">
        <v>32</v>
      </c>
      <c r="E600" s="24">
        <v>5361.0</v>
      </c>
      <c r="F600" s="24">
        <v>251.0</v>
      </c>
      <c r="G600" s="24">
        <v>0.0</v>
      </c>
      <c r="H600" s="24">
        <v>0.0</v>
      </c>
      <c r="I600" s="24">
        <v>252.0</v>
      </c>
      <c r="J600" s="24">
        <v>189.0</v>
      </c>
      <c r="K600" s="24">
        <v>76.0</v>
      </c>
      <c r="L600" s="24" t="s">
        <v>71</v>
      </c>
      <c r="M600" s="24">
        <v>25.0</v>
      </c>
      <c r="N600" s="24">
        <v>154.0</v>
      </c>
      <c r="O600" s="24">
        <v>55.0</v>
      </c>
      <c r="P600" s="24">
        <v>0.0</v>
      </c>
      <c r="Q600" s="24">
        <v>12.0</v>
      </c>
      <c r="R600" s="24">
        <v>0.0</v>
      </c>
      <c r="S600" s="24">
        <v>0.0</v>
      </c>
      <c r="T600" s="24" t="s">
        <v>512</v>
      </c>
      <c r="U600" s="45"/>
      <c r="V600" s="24" t="s">
        <v>76</v>
      </c>
      <c r="W600" s="46"/>
      <c r="X600" s="47"/>
      <c r="Y600" s="48"/>
    </row>
    <row r="601">
      <c r="A601" s="68" t="s">
        <v>523</v>
      </c>
      <c r="B601" s="69" t="s">
        <v>82</v>
      </c>
      <c r="C601" s="70" t="s">
        <v>524</v>
      </c>
      <c r="D601" s="35" t="s">
        <v>32</v>
      </c>
      <c r="E601" s="35">
        <v>7820.0</v>
      </c>
      <c r="F601" s="35">
        <v>434.0</v>
      </c>
      <c r="G601" s="35">
        <v>0.0</v>
      </c>
      <c r="H601" s="35">
        <v>0.0</v>
      </c>
      <c r="I601" s="35">
        <v>360.0</v>
      </c>
      <c r="J601" s="35">
        <v>157.0</v>
      </c>
      <c r="K601" s="35">
        <v>36.0</v>
      </c>
      <c r="L601" s="35" t="s">
        <v>83</v>
      </c>
      <c r="M601" s="35">
        <v>26.0</v>
      </c>
      <c r="N601" s="35">
        <v>66.0</v>
      </c>
      <c r="O601" s="35">
        <v>55.0</v>
      </c>
      <c r="P601" s="35">
        <v>0.0</v>
      </c>
      <c r="Q601" s="35">
        <v>15.0</v>
      </c>
      <c r="R601" s="35">
        <v>0.0</v>
      </c>
      <c r="S601" s="35">
        <v>0.0</v>
      </c>
      <c r="T601" s="35" t="s">
        <v>512</v>
      </c>
      <c r="U601" s="71"/>
      <c r="V601" s="35" t="s">
        <v>76</v>
      </c>
      <c r="W601" s="97"/>
      <c r="X601" s="95"/>
      <c r="Y601" s="74"/>
    </row>
    <row r="602">
      <c r="A602" s="41" t="s">
        <v>525</v>
      </c>
      <c r="B602" s="42" t="s">
        <v>82</v>
      </c>
      <c r="C602" s="99" t="s">
        <v>526</v>
      </c>
      <c r="D602" s="24" t="s">
        <v>28</v>
      </c>
      <c r="E602" s="24">
        <v>7766.0</v>
      </c>
      <c r="F602" s="24">
        <v>399.0</v>
      </c>
      <c r="G602" s="24">
        <v>0.0</v>
      </c>
      <c r="H602" s="24">
        <v>0.0</v>
      </c>
      <c r="I602" s="24">
        <v>197.0</v>
      </c>
      <c r="J602" s="24">
        <v>138.0</v>
      </c>
      <c r="K602" s="24">
        <v>40.0</v>
      </c>
      <c r="L602" s="24" t="s">
        <v>83</v>
      </c>
      <c r="M602" s="24">
        <v>30.0</v>
      </c>
      <c r="N602" s="24">
        <v>62.0</v>
      </c>
      <c r="O602" s="24">
        <v>55.0</v>
      </c>
      <c r="P602" s="24">
        <v>0.0</v>
      </c>
      <c r="Q602" s="24">
        <v>14.0</v>
      </c>
      <c r="R602" s="24">
        <v>0.0</v>
      </c>
      <c r="S602" s="24">
        <v>0.0</v>
      </c>
      <c r="T602" s="24" t="s">
        <v>512</v>
      </c>
      <c r="U602" s="45"/>
      <c r="V602" s="24" t="s">
        <v>76</v>
      </c>
      <c r="W602" s="46"/>
      <c r="X602" s="47"/>
      <c r="Y602" s="48"/>
    </row>
    <row r="603">
      <c r="A603" s="68" t="s">
        <v>527</v>
      </c>
      <c r="B603" s="69" t="s">
        <v>95</v>
      </c>
      <c r="C603" s="70" t="s">
        <v>528</v>
      </c>
      <c r="D603" s="35" t="s">
        <v>32</v>
      </c>
      <c r="E603" s="35">
        <v>7175.0</v>
      </c>
      <c r="F603" s="35">
        <v>0.0</v>
      </c>
      <c r="G603" s="35">
        <v>0.0</v>
      </c>
      <c r="H603" s="35">
        <v>408.0</v>
      </c>
      <c r="I603" s="35">
        <v>316.0</v>
      </c>
      <c r="J603" s="35">
        <v>146.0</v>
      </c>
      <c r="K603" s="35">
        <v>50.0</v>
      </c>
      <c r="L603" s="35" t="s">
        <v>71</v>
      </c>
      <c r="M603" s="35">
        <v>28.0</v>
      </c>
      <c r="N603" s="35">
        <v>90.0</v>
      </c>
      <c r="O603" s="35">
        <v>55.0</v>
      </c>
      <c r="P603" s="35">
        <v>0.0</v>
      </c>
      <c r="Q603" s="35">
        <v>13.0</v>
      </c>
      <c r="R603" s="35">
        <v>0.0</v>
      </c>
      <c r="S603" s="35">
        <v>0.0</v>
      </c>
      <c r="T603" s="35" t="s">
        <v>512</v>
      </c>
      <c r="U603" s="71"/>
      <c r="V603" s="35" t="s">
        <v>76</v>
      </c>
      <c r="W603" s="97"/>
      <c r="X603" s="95"/>
      <c r="Y603" s="74"/>
    </row>
    <row r="604">
      <c r="A604" s="41">
        <v>529.0</v>
      </c>
      <c r="B604" s="42" t="s">
        <v>82</v>
      </c>
      <c r="C604" s="99" t="s">
        <v>529</v>
      </c>
      <c r="D604" s="24" t="s">
        <v>34</v>
      </c>
      <c r="E604" s="24">
        <v>9741.0</v>
      </c>
      <c r="F604" s="24">
        <v>454.0</v>
      </c>
      <c r="G604" s="24">
        <v>0.0</v>
      </c>
      <c r="H604" s="24">
        <v>0.0</v>
      </c>
      <c r="I604" s="24">
        <v>257.0</v>
      </c>
      <c r="J604" s="24">
        <v>180.0</v>
      </c>
      <c r="K604" s="24">
        <v>28.0</v>
      </c>
      <c r="L604" s="24" t="s">
        <v>83</v>
      </c>
      <c r="M604" s="24">
        <v>30.0</v>
      </c>
      <c r="N604" s="24">
        <v>69.0</v>
      </c>
      <c r="O604" s="24">
        <v>50.0</v>
      </c>
      <c r="P604" s="24">
        <v>0.0</v>
      </c>
      <c r="Q604" s="24">
        <v>17.0</v>
      </c>
      <c r="R604" s="24">
        <v>0.0</v>
      </c>
      <c r="S604" s="24">
        <v>0.0</v>
      </c>
      <c r="T604" s="24" t="s">
        <v>193</v>
      </c>
      <c r="U604" s="45"/>
      <c r="V604" s="24" t="s">
        <v>76</v>
      </c>
      <c r="W604" s="46"/>
      <c r="X604" s="67" t="s">
        <v>530</v>
      </c>
      <c r="Y604" s="48"/>
    </row>
    <row r="605">
      <c r="A605" s="68" t="s">
        <v>531</v>
      </c>
      <c r="B605" s="69" t="s">
        <v>126</v>
      </c>
      <c r="C605" s="70" t="s">
        <v>532</v>
      </c>
      <c r="D605" s="35" t="s">
        <v>32</v>
      </c>
      <c r="E605" s="35">
        <v>7607.0</v>
      </c>
      <c r="F605" s="35">
        <v>394.0</v>
      </c>
      <c r="G605" s="35">
        <v>170.0</v>
      </c>
      <c r="H605" s="35">
        <v>0.0</v>
      </c>
      <c r="I605" s="35">
        <v>291.0</v>
      </c>
      <c r="J605" s="35">
        <v>166.0</v>
      </c>
      <c r="K605" s="35">
        <v>35.0</v>
      </c>
      <c r="L605" s="35" t="s">
        <v>71</v>
      </c>
      <c r="M605" s="35">
        <v>31.0</v>
      </c>
      <c r="N605" s="35">
        <v>65.0</v>
      </c>
      <c r="O605" s="35">
        <v>64.0</v>
      </c>
      <c r="P605" s="35">
        <v>0.0</v>
      </c>
      <c r="Q605" s="35">
        <v>15.0</v>
      </c>
      <c r="R605" s="35">
        <v>0.0</v>
      </c>
      <c r="S605" s="35">
        <v>0.0</v>
      </c>
      <c r="T605" s="35" t="s">
        <v>397</v>
      </c>
      <c r="U605" s="71"/>
      <c r="V605" s="35" t="s">
        <v>398</v>
      </c>
      <c r="W605" s="97"/>
      <c r="X605" s="95"/>
      <c r="Y605" s="74"/>
    </row>
    <row r="606">
      <c r="A606" s="41">
        <v>527.0</v>
      </c>
      <c r="B606" s="42" t="s">
        <v>66</v>
      </c>
      <c r="C606" s="99" t="s">
        <v>533</v>
      </c>
      <c r="D606" s="24" t="s">
        <v>32</v>
      </c>
      <c r="E606" s="24">
        <v>6146.0</v>
      </c>
      <c r="F606" s="24">
        <v>303.0</v>
      </c>
      <c r="G606" s="24">
        <v>259.0</v>
      </c>
      <c r="H606" s="24">
        <v>0.0</v>
      </c>
      <c r="I606" s="24">
        <v>220.0</v>
      </c>
      <c r="J606" s="24">
        <v>185.0</v>
      </c>
      <c r="K606" s="24">
        <v>68.0</v>
      </c>
      <c r="L606" s="24" t="s">
        <v>71</v>
      </c>
      <c r="M606" s="24">
        <v>26.0</v>
      </c>
      <c r="N606" s="24">
        <v>138.0</v>
      </c>
      <c r="O606" s="24">
        <v>50.0</v>
      </c>
      <c r="P606" s="24">
        <v>0.0</v>
      </c>
      <c r="Q606" s="24">
        <v>12.0</v>
      </c>
      <c r="R606" s="24">
        <v>0.0</v>
      </c>
      <c r="S606" s="24">
        <v>0.0</v>
      </c>
      <c r="T606" s="24" t="s">
        <v>193</v>
      </c>
      <c r="U606" s="45"/>
      <c r="V606" s="24" t="s">
        <v>76</v>
      </c>
      <c r="W606" s="46"/>
      <c r="X606" s="67" t="s">
        <v>530</v>
      </c>
      <c r="Y606" s="48"/>
    </row>
    <row r="607">
      <c r="A607" s="68">
        <v>525.0</v>
      </c>
      <c r="B607" s="69" t="s">
        <v>52</v>
      </c>
      <c r="C607" s="70" t="s">
        <v>534</v>
      </c>
      <c r="D607" s="35" t="s">
        <v>32</v>
      </c>
      <c r="E607" s="35">
        <v>3748.0</v>
      </c>
      <c r="F607" s="35">
        <v>190.0</v>
      </c>
      <c r="G607" s="35">
        <v>317.0</v>
      </c>
      <c r="H607" s="35">
        <v>0.0</v>
      </c>
      <c r="I607" s="35">
        <v>385.0</v>
      </c>
      <c r="J607" s="35">
        <v>207.0</v>
      </c>
      <c r="K607" s="35">
        <v>127.0</v>
      </c>
      <c r="L607" s="35" t="s">
        <v>29</v>
      </c>
      <c r="M607" s="35">
        <v>36.0</v>
      </c>
      <c r="N607" s="35">
        <v>168.0</v>
      </c>
      <c r="O607" s="35">
        <v>50.0</v>
      </c>
      <c r="P607" s="35">
        <v>149.0</v>
      </c>
      <c r="Q607" s="35">
        <v>11.0</v>
      </c>
      <c r="R607" s="35">
        <v>0.0</v>
      </c>
      <c r="S607" s="35">
        <v>0.0</v>
      </c>
      <c r="T607" s="35" t="s">
        <v>193</v>
      </c>
      <c r="U607" s="71"/>
      <c r="V607" s="35" t="s">
        <v>76</v>
      </c>
      <c r="W607" s="97"/>
      <c r="X607" s="73" t="s">
        <v>535</v>
      </c>
      <c r="Y607" s="74"/>
    </row>
    <row r="608">
      <c r="A608" s="41" t="s">
        <v>536</v>
      </c>
      <c r="B608" s="42" t="s">
        <v>91</v>
      </c>
      <c r="C608" s="99" t="s">
        <v>537</v>
      </c>
      <c r="D608" s="24" t="s">
        <v>28</v>
      </c>
      <c r="E608" s="24">
        <v>6665.0</v>
      </c>
      <c r="F608" s="24">
        <v>0.0</v>
      </c>
      <c r="G608" s="24">
        <v>0.0</v>
      </c>
      <c r="H608" s="24">
        <v>330.0</v>
      </c>
      <c r="I608" s="24">
        <v>294.0</v>
      </c>
      <c r="J608" s="24">
        <v>195.0</v>
      </c>
      <c r="K608" s="24">
        <v>81.0</v>
      </c>
      <c r="L608" s="24" t="s">
        <v>71</v>
      </c>
      <c r="M608" s="24">
        <v>26.0</v>
      </c>
      <c r="N608" s="24">
        <v>115.0</v>
      </c>
      <c r="O608" s="24">
        <v>43.0</v>
      </c>
      <c r="P608" s="24">
        <v>78.0</v>
      </c>
      <c r="Q608" s="24">
        <v>13.0</v>
      </c>
      <c r="R608" s="24">
        <v>0.0</v>
      </c>
      <c r="S608" s="24">
        <v>0.0</v>
      </c>
      <c r="T608" s="24" t="s">
        <v>397</v>
      </c>
      <c r="U608" s="45"/>
      <c r="V608" s="24" t="s">
        <v>407</v>
      </c>
      <c r="W608" s="46"/>
      <c r="X608" s="47"/>
      <c r="Y608" s="48"/>
    </row>
    <row r="609">
      <c r="A609" s="68">
        <v>526.0</v>
      </c>
      <c r="B609" s="69" t="s">
        <v>91</v>
      </c>
      <c r="C609" s="70" t="s">
        <v>538</v>
      </c>
      <c r="D609" s="35" t="s">
        <v>28</v>
      </c>
      <c r="E609" s="35">
        <v>5076.0</v>
      </c>
      <c r="F609" s="35">
        <v>0.0</v>
      </c>
      <c r="G609" s="35">
        <v>0.0</v>
      </c>
      <c r="H609" s="35">
        <v>334.0</v>
      </c>
      <c r="I609" s="35">
        <v>274.0</v>
      </c>
      <c r="J609" s="35">
        <v>188.0</v>
      </c>
      <c r="K609" s="35">
        <v>64.0</v>
      </c>
      <c r="L609" s="35" t="s">
        <v>71</v>
      </c>
      <c r="M609" s="35">
        <v>21.0</v>
      </c>
      <c r="N609" s="35">
        <v>86.0</v>
      </c>
      <c r="O609" s="35">
        <v>30.0</v>
      </c>
      <c r="P609" s="35">
        <v>73.0</v>
      </c>
      <c r="Q609" s="35">
        <v>11.0</v>
      </c>
      <c r="R609" s="35">
        <v>0.0</v>
      </c>
      <c r="S609" s="35">
        <v>0.0</v>
      </c>
      <c r="T609" s="35" t="s">
        <v>193</v>
      </c>
      <c r="U609" s="71"/>
      <c r="V609" s="35" t="s">
        <v>76</v>
      </c>
      <c r="W609" s="97"/>
      <c r="X609" s="73" t="s">
        <v>530</v>
      </c>
      <c r="Y609" s="74"/>
    </row>
    <row r="610">
      <c r="A610" s="41">
        <v>528.0</v>
      </c>
      <c r="B610" s="42" t="s">
        <v>242</v>
      </c>
      <c r="C610" s="99" t="s">
        <v>539</v>
      </c>
      <c r="D610" s="24" t="s">
        <v>28</v>
      </c>
      <c r="E610" s="24">
        <v>1289.0</v>
      </c>
      <c r="F610" s="24">
        <v>46.0</v>
      </c>
      <c r="G610" s="24">
        <v>505.0</v>
      </c>
      <c r="H610" s="24">
        <v>0.0</v>
      </c>
      <c r="I610" s="24">
        <v>0.0</v>
      </c>
      <c r="J610" s="24">
        <v>86.0</v>
      </c>
      <c r="K610" s="24">
        <v>38.0</v>
      </c>
      <c r="L610" s="24" t="s">
        <v>29</v>
      </c>
      <c r="M610" s="24">
        <v>18.0</v>
      </c>
      <c r="N610" s="24">
        <v>180.0</v>
      </c>
      <c r="O610" s="24">
        <v>20.0</v>
      </c>
      <c r="P610" s="24">
        <v>0.0</v>
      </c>
      <c r="Q610" s="24">
        <v>6.0</v>
      </c>
      <c r="R610" s="24">
        <v>198.0</v>
      </c>
      <c r="S610" s="24">
        <v>2.0</v>
      </c>
      <c r="T610" s="24" t="s">
        <v>193</v>
      </c>
      <c r="U610" s="45"/>
      <c r="V610" s="24" t="s">
        <v>76</v>
      </c>
      <c r="W610" s="46"/>
      <c r="X610" s="67" t="s">
        <v>540</v>
      </c>
      <c r="Y610" s="48"/>
    </row>
    <row r="611">
      <c r="A611" s="128"/>
      <c r="B611" s="129"/>
      <c r="C611" s="130"/>
      <c r="D611" s="131"/>
      <c r="E611" s="131"/>
      <c r="F611" s="131"/>
      <c r="G611" s="131"/>
      <c r="H611" s="131"/>
      <c r="I611" s="131"/>
      <c r="J611" s="131"/>
      <c r="K611" s="131"/>
      <c r="L611" s="131"/>
      <c r="M611" s="131"/>
      <c r="N611" s="131"/>
      <c r="O611" s="131"/>
      <c r="P611" s="131"/>
      <c r="Q611" s="131"/>
      <c r="R611" s="131"/>
      <c r="S611" s="131"/>
      <c r="T611" s="35"/>
      <c r="U611" s="71"/>
      <c r="V611" s="35"/>
      <c r="W611" s="97"/>
      <c r="X611" s="95"/>
      <c r="Y611" s="74"/>
    </row>
    <row r="612">
      <c r="A612" s="132"/>
      <c r="B612" s="133"/>
      <c r="C612" s="134"/>
      <c r="D612" s="44"/>
      <c r="E612" s="44"/>
      <c r="F612" s="44"/>
      <c r="G612" s="44"/>
      <c r="H612" s="44"/>
      <c r="I612" s="44"/>
      <c r="J612" s="44"/>
      <c r="K612" s="44"/>
      <c r="L612" s="44"/>
      <c r="M612" s="44"/>
      <c r="N612" s="44"/>
      <c r="O612" s="44"/>
      <c r="P612" s="44"/>
      <c r="Q612" s="44"/>
      <c r="R612" s="44"/>
      <c r="S612" s="44"/>
      <c r="T612" s="24"/>
      <c r="U612" s="45"/>
      <c r="V612" s="44"/>
      <c r="W612" s="46"/>
      <c r="X612" s="47"/>
      <c r="Y612" s="48"/>
    </row>
    <row r="613">
      <c r="A613" s="128"/>
      <c r="B613" s="129"/>
      <c r="C613" s="130"/>
      <c r="D613" s="131"/>
      <c r="E613" s="131"/>
      <c r="F613" s="131"/>
      <c r="G613" s="131"/>
      <c r="H613" s="131"/>
      <c r="I613" s="131"/>
      <c r="J613" s="131"/>
      <c r="K613" s="131"/>
      <c r="L613" s="131"/>
      <c r="M613" s="131"/>
      <c r="N613" s="131"/>
      <c r="O613" s="131"/>
      <c r="P613" s="131"/>
      <c r="Q613" s="131"/>
      <c r="R613" s="131"/>
      <c r="S613" s="131"/>
      <c r="T613" s="35"/>
      <c r="U613" s="71"/>
      <c r="V613" s="131"/>
      <c r="W613" s="97"/>
      <c r="X613" s="95"/>
      <c r="Y613" s="74"/>
    </row>
    <row r="614">
      <c r="A614" s="132"/>
      <c r="B614" s="133"/>
      <c r="C614" s="134"/>
      <c r="D614" s="44"/>
      <c r="E614" s="44"/>
      <c r="F614" s="44"/>
      <c r="G614" s="44"/>
      <c r="H614" s="44"/>
      <c r="I614" s="44"/>
      <c r="J614" s="44"/>
      <c r="K614" s="44"/>
      <c r="L614" s="44"/>
      <c r="M614" s="44"/>
      <c r="N614" s="44"/>
      <c r="O614" s="44"/>
      <c r="P614" s="44"/>
      <c r="Q614" s="44"/>
      <c r="R614" s="44"/>
      <c r="S614" s="44"/>
      <c r="T614" s="24"/>
      <c r="U614" s="45"/>
      <c r="V614" s="44"/>
      <c r="W614" s="46"/>
      <c r="X614" s="47"/>
      <c r="Y614" s="48"/>
    </row>
    <row r="615">
      <c r="A615" s="128"/>
      <c r="B615" s="129"/>
      <c r="C615" s="130"/>
      <c r="D615" s="131"/>
      <c r="E615" s="131"/>
      <c r="F615" s="131"/>
      <c r="G615" s="131"/>
      <c r="H615" s="131"/>
      <c r="I615" s="131"/>
      <c r="J615" s="131"/>
      <c r="K615" s="131"/>
      <c r="L615" s="131"/>
      <c r="M615" s="131"/>
      <c r="N615" s="131"/>
      <c r="O615" s="131"/>
      <c r="P615" s="131"/>
      <c r="Q615" s="131"/>
      <c r="R615" s="131"/>
      <c r="S615" s="131"/>
      <c r="T615" s="35"/>
      <c r="U615" s="71"/>
      <c r="V615" s="131"/>
      <c r="W615" s="97"/>
      <c r="X615" s="95"/>
      <c r="Y615" s="74"/>
    </row>
    <row r="616">
      <c r="A616" s="132"/>
      <c r="B616" s="133"/>
      <c r="C616" s="134"/>
      <c r="D616" s="44"/>
      <c r="E616" s="44"/>
      <c r="F616" s="44"/>
      <c r="G616" s="44"/>
      <c r="H616" s="44"/>
      <c r="I616" s="44"/>
      <c r="J616" s="44"/>
      <c r="K616" s="44"/>
      <c r="L616" s="44"/>
      <c r="M616" s="44"/>
      <c r="N616" s="44"/>
      <c r="O616" s="44"/>
      <c r="P616" s="44"/>
      <c r="Q616" s="44"/>
      <c r="R616" s="44"/>
      <c r="S616" s="44"/>
      <c r="T616" s="24"/>
      <c r="U616" s="45"/>
      <c r="V616" s="44"/>
      <c r="W616" s="46"/>
      <c r="X616" s="47"/>
      <c r="Y616" s="48"/>
    </row>
    <row r="617">
      <c r="A617" s="128"/>
      <c r="B617" s="129"/>
      <c r="C617" s="130"/>
      <c r="D617" s="131"/>
      <c r="E617" s="131"/>
      <c r="F617" s="131"/>
      <c r="G617" s="131"/>
      <c r="H617" s="131"/>
      <c r="I617" s="131"/>
      <c r="J617" s="131"/>
      <c r="K617" s="131"/>
      <c r="L617" s="131"/>
      <c r="M617" s="131"/>
      <c r="N617" s="131"/>
      <c r="O617" s="131"/>
      <c r="P617" s="131"/>
      <c r="Q617" s="131"/>
      <c r="R617" s="131"/>
      <c r="S617" s="131"/>
      <c r="T617" s="35"/>
      <c r="U617" s="71"/>
      <c r="V617" s="131"/>
      <c r="W617" s="97"/>
      <c r="X617" s="95"/>
      <c r="Y617" s="74"/>
    </row>
    <row r="618">
      <c r="A618" s="132"/>
      <c r="B618" s="133"/>
      <c r="C618" s="134"/>
      <c r="D618" s="44"/>
      <c r="E618" s="44"/>
      <c r="F618" s="44"/>
      <c r="G618" s="44"/>
      <c r="H618" s="44"/>
      <c r="I618" s="44"/>
      <c r="J618" s="44"/>
      <c r="K618" s="44"/>
      <c r="L618" s="44"/>
      <c r="M618" s="44"/>
      <c r="N618" s="44"/>
      <c r="O618" s="44"/>
      <c r="P618" s="44"/>
      <c r="Q618" s="44"/>
      <c r="R618" s="44"/>
      <c r="S618" s="44"/>
      <c r="T618" s="24"/>
      <c r="U618" s="45"/>
      <c r="V618" s="44"/>
      <c r="W618" s="46"/>
      <c r="X618" s="47"/>
      <c r="Y618" s="48"/>
    </row>
    <row r="619">
      <c r="A619" s="128"/>
      <c r="B619" s="129"/>
      <c r="C619" s="130"/>
      <c r="D619" s="131"/>
      <c r="E619" s="131"/>
      <c r="F619" s="131"/>
      <c r="G619" s="131"/>
      <c r="H619" s="131"/>
      <c r="I619" s="131"/>
      <c r="J619" s="131"/>
      <c r="K619" s="131"/>
      <c r="L619" s="131"/>
      <c r="M619" s="131"/>
      <c r="N619" s="131"/>
      <c r="O619" s="131"/>
      <c r="P619" s="131"/>
      <c r="Q619" s="131"/>
      <c r="R619" s="131"/>
      <c r="S619" s="131"/>
      <c r="T619" s="35"/>
      <c r="U619" s="71"/>
      <c r="V619" s="131"/>
      <c r="W619" s="97"/>
      <c r="X619" s="95"/>
      <c r="Y619" s="74"/>
    </row>
    <row r="620">
      <c r="A620" s="132"/>
      <c r="B620" s="133"/>
      <c r="C620" s="134"/>
      <c r="D620" s="44"/>
      <c r="E620" s="44"/>
      <c r="F620" s="44"/>
      <c r="G620" s="44"/>
      <c r="H620" s="44"/>
      <c r="I620" s="44"/>
      <c r="J620" s="44"/>
      <c r="K620" s="44"/>
      <c r="L620" s="44"/>
      <c r="M620" s="44"/>
      <c r="N620" s="44"/>
      <c r="O620" s="44"/>
      <c r="P620" s="44"/>
      <c r="Q620" s="44"/>
      <c r="R620" s="44"/>
      <c r="S620" s="44"/>
      <c r="T620" s="24"/>
      <c r="U620" s="45"/>
      <c r="V620" s="44"/>
      <c r="W620" s="46"/>
      <c r="X620" s="47"/>
      <c r="Y620" s="48"/>
    </row>
    <row r="621">
      <c r="A621" s="128"/>
      <c r="B621" s="129"/>
      <c r="C621" s="130"/>
      <c r="D621" s="131"/>
      <c r="E621" s="131"/>
      <c r="F621" s="131"/>
      <c r="G621" s="131"/>
      <c r="H621" s="131"/>
      <c r="I621" s="131"/>
      <c r="J621" s="131"/>
      <c r="K621" s="131"/>
      <c r="L621" s="131"/>
      <c r="M621" s="131"/>
      <c r="N621" s="131"/>
      <c r="O621" s="131"/>
      <c r="P621" s="131"/>
      <c r="Q621" s="131"/>
      <c r="R621" s="131"/>
      <c r="S621" s="131"/>
      <c r="T621" s="35"/>
      <c r="U621" s="71"/>
      <c r="V621" s="131"/>
      <c r="W621" s="97"/>
      <c r="X621" s="95"/>
      <c r="Y621" s="74"/>
    </row>
    <row r="622">
      <c r="A622" s="132"/>
      <c r="B622" s="133"/>
      <c r="C622" s="134"/>
      <c r="D622" s="44"/>
      <c r="E622" s="44"/>
      <c r="F622" s="44"/>
      <c r="G622" s="44"/>
      <c r="H622" s="44"/>
      <c r="I622" s="44"/>
      <c r="J622" s="44"/>
      <c r="K622" s="44"/>
      <c r="L622" s="44"/>
      <c r="M622" s="44"/>
      <c r="N622" s="44"/>
      <c r="O622" s="44"/>
      <c r="P622" s="44"/>
      <c r="Q622" s="44"/>
      <c r="R622" s="44"/>
      <c r="S622" s="44"/>
      <c r="T622" s="24"/>
      <c r="U622" s="45"/>
      <c r="V622" s="44"/>
      <c r="W622" s="46"/>
      <c r="X622" s="47"/>
      <c r="Y622" s="48"/>
    </row>
    <row r="623">
      <c r="A623" s="128"/>
      <c r="B623" s="129"/>
      <c r="C623" s="130"/>
      <c r="D623" s="131"/>
      <c r="E623" s="131"/>
      <c r="F623" s="131"/>
      <c r="G623" s="131"/>
      <c r="H623" s="131"/>
      <c r="I623" s="131"/>
      <c r="J623" s="131"/>
      <c r="K623" s="131"/>
      <c r="L623" s="131"/>
      <c r="M623" s="131"/>
      <c r="N623" s="131"/>
      <c r="O623" s="131"/>
      <c r="P623" s="131"/>
      <c r="Q623" s="131"/>
      <c r="R623" s="131"/>
      <c r="S623" s="131"/>
      <c r="T623" s="35"/>
      <c r="U623" s="71"/>
      <c r="V623" s="131"/>
      <c r="W623" s="97"/>
      <c r="X623" s="95"/>
      <c r="Y623" s="74"/>
    </row>
    <row r="624">
      <c r="A624" s="132"/>
      <c r="B624" s="133"/>
      <c r="C624" s="134"/>
      <c r="D624" s="44"/>
      <c r="E624" s="44"/>
      <c r="F624" s="44"/>
      <c r="G624" s="44"/>
      <c r="H624" s="44"/>
      <c r="I624" s="44"/>
      <c r="J624" s="44"/>
      <c r="K624" s="44"/>
      <c r="L624" s="44"/>
      <c r="M624" s="44"/>
      <c r="N624" s="44"/>
      <c r="O624" s="44"/>
      <c r="P624" s="44"/>
      <c r="Q624" s="44"/>
      <c r="R624" s="44"/>
      <c r="S624" s="44"/>
      <c r="T624" s="24"/>
      <c r="U624" s="45"/>
      <c r="V624" s="44"/>
      <c r="W624" s="46"/>
      <c r="X624" s="47"/>
      <c r="Y624" s="48"/>
    </row>
    <row r="625">
      <c r="A625" s="128"/>
      <c r="B625" s="129"/>
      <c r="C625" s="130"/>
      <c r="D625" s="131"/>
      <c r="E625" s="131"/>
      <c r="F625" s="131"/>
      <c r="G625" s="131"/>
      <c r="H625" s="131"/>
      <c r="I625" s="131"/>
      <c r="J625" s="131"/>
      <c r="K625" s="131"/>
      <c r="L625" s="131"/>
      <c r="M625" s="131"/>
      <c r="N625" s="131"/>
      <c r="O625" s="131"/>
      <c r="P625" s="131"/>
      <c r="Q625" s="131"/>
      <c r="R625" s="131"/>
      <c r="S625" s="131"/>
      <c r="T625" s="35"/>
      <c r="U625" s="71"/>
      <c r="V625" s="131"/>
      <c r="W625" s="97"/>
      <c r="X625" s="95"/>
      <c r="Y625" s="74"/>
    </row>
    <row r="626">
      <c r="A626" s="132"/>
      <c r="B626" s="133"/>
      <c r="C626" s="134"/>
      <c r="D626" s="44"/>
      <c r="E626" s="44"/>
      <c r="F626" s="44"/>
      <c r="G626" s="44"/>
      <c r="H626" s="44"/>
      <c r="I626" s="44"/>
      <c r="J626" s="44"/>
      <c r="K626" s="44"/>
      <c r="L626" s="44"/>
      <c r="M626" s="44"/>
      <c r="N626" s="44"/>
      <c r="O626" s="44"/>
      <c r="P626" s="44"/>
      <c r="Q626" s="44"/>
      <c r="R626" s="44"/>
      <c r="S626" s="44"/>
      <c r="T626" s="24"/>
      <c r="U626" s="45"/>
      <c r="V626" s="44"/>
      <c r="W626" s="46"/>
      <c r="X626" s="47"/>
      <c r="Y626" s="48"/>
    </row>
    <row r="627">
      <c r="A627" s="128"/>
      <c r="B627" s="129"/>
      <c r="C627" s="130"/>
      <c r="D627" s="131"/>
      <c r="E627" s="131"/>
      <c r="F627" s="131"/>
      <c r="G627" s="131"/>
      <c r="H627" s="131"/>
      <c r="I627" s="131"/>
      <c r="J627" s="131"/>
      <c r="K627" s="131"/>
      <c r="L627" s="131"/>
      <c r="M627" s="131"/>
      <c r="N627" s="131"/>
      <c r="O627" s="131"/>
      <c r="P627" s="131"/>
      <c r="Q627" s="131"/>
      <c r="R627" s="131"/>
      <c r="S627" s="131"/>
      <c r="T627" s="35"/>
      <c r="U627" s="71"/>
      <c r="V627" s="131"/>
      <c r="W627" s="97"/>
      <c r="X627" s="95"/>
      <c r="Y627" s="74"/>
    </row>
    <row r="628">
      <c r="A628" s="132"/>
      <c r="B628" s="133"/>
      <c r="C628" s="134"/>
      <c r="D628" s="44"/>
      <c r="E628" s="44"/>
      <c r="F628" s="44"/>
      <c r="G628" s="44"/>
      <c r="H628" s="44"/>
      <c r="I628" s="44"/>
      <c r="J628" s="44"/>
      <c r="K628" s="44"/>
      <c r="L628" s="44"/>
      <c r="M628" s="44"/>
      <c r="N628" s="44"/>
      <c r="O628" s="44"/>
      <c r="P628" s="44"/>
      <c r="Q628" s="44"/>
      <c r="R628" s="44"/>
      <c r="S628" s="44"/>
      <c r="T628" s="24"/>
      <c r="U628" s="45"/>
      <c r="V628" s="44"/>
      <c r="W628" s="46"/>
      <c r="X628" s="47"/>
      <c r="Y628" s="48"/>
    </row>
  </sheetData>
  <customSheetViews>
    <customSheetView guid="{5A569FE0-46F2-4581-97CD-9BA081C3EF37}" filter="1" showAutoFilter="1">
      <autoFilter ref="$A$1:$X$368">
        <filterColumn colId="19">
          <filters>
            <filter val="Dragon Empery"/>
            <filter val="Iron Blood"/>
            <filter val="Northern Parliament"/>
          </filters>
        </filterColumn>
      </autoFilter>
    </customSheetView>
    <customSheetView guid="{C226F6DF-FF31-45B1-8E77-B4FADBED153C}" filter="1" showAutoFilter="1">
      <autoFilter ref="$A$1:$X$368">
        <filterColumn colId="19">
          <filters>
            <filter val="Eagle Union"/>
            <filter val="Dragon Empery"/>
            <filter val="Iron Blood"/>
            <filter val="Northern Parliament"/>
          </filters>
        </filterColumn>
      </autoFilter>
    </customSheetView>
    <customSheetView guid="{4945B9E4-D3E1-4F8E-8920-799EF15902A1}" filter="1" showAutoFilter="1">
      <autoFilter ref="$A$1:$X$368">
        <filterColumn colId="19">
          <filters>
            <filter val="Dragon Empery"/>
            <filter val="Iron Blood"/>
            <filter val="Sakura Empire"/>
            <filter val="Northern Parliament"/>
          </filters>
        </filterColumn>
      </autoFilter>
    </customSheetView>
    <customSheetView guid="{B9BC391F-1590-4DB6-9DDE-54372D10C689}" filter="1" showAutoFilter="1">
      <autoFilter ref="$A$1:$X$368">
        <filterColumn colId="19">
          <filters>
            <filter val="Dragon Empery"/>
            <filter val="Iron Blood"/>
            <filter val="Northern Parliament"/>
          </filters>
        </filterColumn>
      </autoFilter>
    </customSheetView>
    <customSheetView guid="{9DC526C2-9056-41E1-BFB1-A0E348919450}" filter="1" showAutoFilter="1">
      <autoFilter ref="$A$1:$X$368">
        <filterColumn colId="19">
          <filters>
            <filter val="Dragon Empery"/>
            <filter val="Iron Blood"/>
            <filter val="Northern Parliament"/>
            <filter val="Royal Navy"/>
          </filters>
        </filterColumn>
      </autoFilter>
    </customSheetView>
  </customSheetViews>
  <mergeCells count="83">
    <mergeCell ref="U206:W206"/>
    <mergeCell ref="U222:W222"/>
    <mergeCell ref="U224:W224"/>
    <mergeCell ref="U226:W226"/>
    <mergeCell ref="U228:W228"/>
    <mergeCell ref="U237:W237"/>
    <mergeCell ref="U242:W242"/>
    <mergeCell ref="U244:W244"/>
    <mergeCell ref="U251:W251"/>
    <mergeCell ref="U253:W253"/>
    <mergeCell ref="U257:W257"/>
    <mergeCell ref="U259:W259"/>
    <mergeCell ref="U261:W261"/>
    <mergeCell ref="U277:W277"/>
    <mergeCell ref="U279:W279"/>
    <mergeCell ref="U282:W282"/>
    <mergeCell ref="U289:W289"/>
    <mergeCell ref="U291:W291"/>
    <mergeCell ref="U293:W293"/>
    <mergeCell ref="U295:W295"/>
    <mergeCell ref="U311:W311"/>
    <mergeCell ref="U371:W371"/>
    <mergeCell ref="U383:W383"/>
    <mergeCell ref="U385:W385"/>
    <mergeCell ref="U390:W390"/>
    <mergeCell ref="U438:W438"/>
    <mergeCell ref="U448:W448"/>
    <mergeCell ref="U318:W318"/>
    <mergeCell ref="U320:W320"/>
    <mergeCell ref="U325:W325"/>
    <mergeCell ref="U327:W327"/>
    <mergeCell ref="U355:W355"/>
    <mergeCell ref="U357:W357"/>
    <mergeCell ref="U360:W360"/>
    <mergeCell ref="U7:W7"/>
    <mergeCell ref="U9:W9"/>
    <mergeCell ref="U22:W22"/>
    <mergeCell ref="U24:W24"/>
    <mergeCell ref="U26:W26"/>
    <mergeCell ref="U33:W33"/>
    <mergeCell ref="U37:W37"/>
    <mergeCell ref="U46:W46"/>
    <mergeCell ref="U54:W54"/>
    <mergeCell ref="U56:W56"/>
    <mergeCell ref="U69:W69"/>
    <mergeCell ref="U71:W71"/>
    <mergeCell ref="U73:W73"/>
    <mergeCell ref="U76:W76"/>
    <mergeCell ref="U78:W78"/>
    <mergeCell ref="U85:W85"/>
    <mergeCell ref="U87:W87"/>
    <mergeCell ref="U89:W89"/>
    <mergeCell ref="U93:W93"/>
    <mergeCell ref="U95:W95"/>
    <mergeCell ref="U97:W97"/>
    <mergeCell ref="U99:W99"/>
    <mergeCell ref="U101:W101"/>
    <mergeCell ref="U107:W107"/>
    <mergeCell ref="U111:W111"/>
    <mergeCell ref="U113:W113"/>
    <mergeCell ref="U115:W115"/>
    <mergeCell ref="U126:W126"/>
    <mergeCell ref="U130:W130"/>
    <mergeCell ref="U134:W134"/>
    <mergeCell ref="U136:W136"/>
    <mergeCell ref="U142:W142"/>
    <mergeCell ref="U149:W149"/>
    <mergeCell ref="U153:W153"/>
    <mergeCell ref="U163:W163"/>
    <mergeCell ref="U170:W170"/>
    <mergeCell ref="U172:W172"/>
    <mergeCell ref="U175:W175"/>
    <mergeCell ref="U177:W177"/>
    <mergeCell ref="U180:W180"/>
    <mergeCell ref="U183:W183"/>
    <mergeCell ref="U185:W185"/>
    <mergeCell ref="U187:W187"/>
    <mergeCell ref="U191:W191"/>
    <mergeCell ref="U194:W194"/>
    <mergeCell ref="U197:W197"/>
    <mergeCell ref="U199:W199"/>
    <mergeCell ref="U201:W201"/>
    <mergeCell ref="U204:W204"/>
  </mergeCells>
  <conditionalFormatting sqref="B1:B628">
    <cfRule type="cellIs" dxfId="0" priority="1" operator="equal">
      <formula>"SSV"</formula>
    </cfRule>
  </conditionalFormatting>
  <conditionalFormatting sqref="D2:D628">
    <cfRule type="cellIs" dxfId="1" priority="2" operator="equal">
      <formula>"Common"</formula>
    </cfRule>
  </conditionalFormatting>
  <conditionalFormatting sqref="D2:D628">
    <cfRule type="cellIs" dxfId="2" priority="3" operator="equal">
      <formula>"Rare"</formula>
    </cfRule>
  </conditionalFormatting>
  <conditionalFormatting sqref="D2:D628">
    <cfRule type="cellIs" dxfId="3" priority="4" operator="equal">
      <formula>"Elite"</formula>
    </cfRule>
  </conditionalFormatting>
  <conditionalFormatting sqref="D2:D628">
    <cfRule type="cellIs" dxfId="4" priority="5" operator="equal">
      <formula>"Super Rare"</formula>
    </cfRule>
  </conditionalFormatting>
  <conditionalFormatting sqref="D2:D628">
    <cfRule type="cellIs" dxfId="5" priority="6" operator="equal">
      <formula>"Ultra Rare"</formula>
    </cfRule>
  </conditionalFormatting>
  <conditionalFormatting sqref="B1:B628">
    <cfRule type="cellIs" dxfId="6" priority="7" operator="equal">
      <formula>"DD"</formula>
    </cfRule>
  </conditionalFormatting>
  <conditionalFormatting sqref="B1:B628">
    <cfRule type="cellIs" dxfId="7" priority="8" operator="equal">
      <formula>"CA"</formula>
    </cfRule>
  </conditionalFormatting>
  <conditionalFormatting sqref="B1:B628">
    <cfRule type="cellIs" dxfId="8" priority="9" operator="equal">
      <formula>"CL"</formula>
    </cfRule>
  </conditionalFormatting>
  <conditionalFormatting sqref="B1:B628">
    <cfRule type="cellIs" dxfId="9" priority="10" operator="equal">
      <formula>"BB"</formula>
    </cfRule>
  </conditionalFormatting>
  <conditionalFormatting sqref="B1:B628">
    <cfRule type="cellIs" dxfId="5" priority="11" operator="equal">
      <formula>"BC"</formula>
    </cfRule>
  </conditionalFormatting>
  <conditionalFormatting sqref="B1:B628">
    <cfRule type="cellIs" dxfId="10" priority="12" operator="equal">
      <formula>"AR"</formula>
    </cfRule>
  </conditionalFormatting>
  <conditionalFormatting sqref="B1:B628">
    <cfRule type="cellIs" dxfId="11" priority="13" operator="equal">
      <formula>"BM"</formula>
    </cfRule>
  </conditionalFormatting>
  <conditionalFormatting sqref="B1:B628">
    <cfRule type="cellIs" dxfId="12" priority="14" operator="equal">
      <formula>"SS"</formula>
    </cfRule>
  </conditionalFormatting>
  <conditionalFormatting sqref="B1:B628">
    <cfRule type="cellIs" dxfId="3" priority="15" operator="equal">
      <formula>"CV"</formula>
    </cfRule>
  </conditionalFormatting>
  <conditionalFormatting sqref="B1:B628">
    <cfRule type="cellIs" dxfId="13" priority="16" operator="equal">
      <formula>"CVL"</formula>
    </cfRule>
  </conditionalFormatting>
  <conditionalFormatting sqref="B1:B628">
    <cfRule type="cellIs" dxfId="14" priority="17" operator="equal">
      <formula>"BBV"</formula>
    </cfRule>
  </conditionalFormatting>
  <conditionalFormatting sqref="T1:T628">
    <cfRule type="cellIs" dxfId="15" priority="18" operator="equal">
      <formula>"Northern Parliament"</formula>
    </cfRule>
  </conditionalFormatting>
  <conditionalFormatting sqref="T1:T628">
    <cfRule type="cellIs" dxfId="2" priority="19" operator="equal">
      <formula>"Eagle Union"</formula>
    </cfRule>
  </conditionalFormatting>
  <conditionalFormatting sqref="T1:T628">
    <cfRule type="cellIs" dxfId="16" priority="20" operator="equal">
      <formula>"Royal Navy"</formula>
    </cfRule>
  </conditionalFormatting>
  <conditionalFormatting sqref="T1:T628">
    <cfRule type="cellIs" dxfId="17" priority="21" operator="equal">
      <formula>"Sakura Empire"</formula>
    </cfRule>
  </conditionalFormatting>
  <conditionalFormatting sqref="T1:T628">
    <cfRule type="cellIs" dxfId="5" priority="22" operator="equal">
      <formula>"Iron Blood"</formula>
    </cfRule>
  </conditionalFormatting>
  <conditionalFormatting sqref="T1:T628">
    <cfRule type="cellIs" dxfId="18" priority="23" operator="equal">
      <formula>"Dragon Empery"</formula>
    </cfRule>
  </conditionalFormatting>
  <conditionalFormatting sqref="T1:T628">
    <cfRule type="cellIs" dxfId="4" priority="24" operator="equal">
      <formula>"Iris Libre"</formula>
    </cfRule>
  </conditionalFormatting>
  <conditionalFormatting sqref="T1:T628">
    <cfRule type="cellIs" dxfId="9" priority="25" operator="equal">
      <formula>"Vichya Dominion"</formula>
    </cfRule>
  </conditionalFormatting>
  <conditionalFormatting sqref="W2:W200 W202:W222 W226:W628">
    <cfRule type="notContainsBlanks" dxfId="19" priority="26">
      <formula>LEN(TRIM(W2))&gt;0</formula>
    </cfRule>
  </conditionalFormatting>
  <conditionalFormatting sqref="W1:W200 W202:W222 W226:W628">
    <cfRule type="containsBlanks" dxfId="9" priority="27">
      <formula>LEN(TRIM(W1))=0</formula>
    </cfRule>
  </conditionalFormatting>
  <conditionalFormatting sqref="U1:V628">
    <cfRule type="cellIs" dxfId="4" priority="28" operator="equal">
      <formula>"Retrofit"</formula>
    </cfRule>
  </conditionalFormatting>
  <conditionalFormatting sqref="U1:U628">
    <cfRule type="containsText" dxfId="20" priority="29" operator="containsText" text="(BN)">
      <formula>NOT(ISERROR(SEARCH(("(BN)"),(U1))))</formula>
    </cfRule>
  </conditionalFormatting>
  <conditionalFormatting sqref="U2:U628">
    <cfRule type="notContainsBlanks" dxfId="19" priority="30">
      <formula>LEN(TRIM(U2))&gt;0</formula>
    </cfRule>
  </conditionalFormatting>
  <conditionalFormatting sqref="U1:U628">
    <cfRule type="containsBlanks" dxfId="9" priority="31">
      <formula>LEN(TRIM(U1))=0</formula>
    </cfRule>
  </conditionalFormatting>
  <conditionalFormatting sqref="T1:T628">
    <cfRule type="cellIs" dxfId="3" priority="32" operator="equal">
      <formula>"Neptunia"</formula>
    </cfRule>
  </conditionalFormatting>
  <conditionalFormatting sqref="B1:B628">
    <cfRule type="cellIs" dxfId="21" priority="33" operator="equal">
      <formula>"CB"</formula>
    </cfRule>
  </conditionalFormatting>
  <conditionalFormatting sqref="T1:T628">
    <cfRule type="cellIs" dxfId="22" priority="34" operator="equal">
      <formula>"Kizuna Ai"</formula>
    </cfRule>
  </conditionalFormatting>
  <conditionalFormatting sqref="D2:D628">
    <cfRule type="cellIs" dxfId="4" priority="35" operator="equal">
      <formula>"Priority"</formula>
    </cfRule>
  </conditionalFormatting>
  <conditionalFormatting sqref="D2:D628">
    <cfRule type="cellIs" dxfId="5" priority="36" operator="equal">
      <formula>"Decisive"</formula>
    </cfRule>
  </conditionalFormatting>
  <conditionalFormatting sqref="T1:T628">
    <cfRule type="cellIs" dxfId="23" priority="37" operator="equal">
      <formula>"Universal"</formula>
    </cfRule>
  </conditionalFormatting>
  <conditionalFormatting sqref="T1:T628">
    <cfRule type="cellIs" dxfId="12" priority="38" operator="equal">
      <formula>"Sardegna Empire"</formula>
    </cfRule>
  </conditionalFormatting>
  <conditionalFormatting sqref="T1:T628">
    <cfRule type="cellIs" dxfId="24" priority="39" operator="equal">
      <formula>"Hololive"</formula>
    </cfRule>
  </conditionalFormatting>
  <conditionalFormatting sqref="V1:V200 V202:V222 V226:V571 V573:V628">
    <cfRule type="cellIs" dxfId="25" priority="40" operator="equal">
      <formula>"Limited"</formula>
    </cfRule>
  </conditionalFormatting>
  <conditionalFormatting sqref="B1:B628">
    <cfRule type="cellIs" dxfId="26" priority="41" operator="equal">
      <formula>"AE"</formula>
    </cfRule>
  </conditionalFormatting>
  <conditionalFormatting sqref="T1:T628">
    <cfRule type="cellIs" dxfId="27" priority="42" operator="equal">
      <formula>"Venus"</formula>
    </cfRule>
  </conditionalFormatting>
  <conditionalFormatting sqref="T1:T628">
    <cfRule type="cellIs" dxfId="28" priority="43" operator="equal">
      <formula>"Ashes"</formula>
    </cfRule>
  </conditionalFormatting>
  <conditionalFormatting sqref="V1:V200 V202:V222 V226:V571 V573:V628">
    <cfRule type="cellIs" dxfId="28" priority="44" operator="equal">
      <formula>"Operation Siren"</formula>
    </cfRule>
  </conditionalFormatting>
  <conditionalFormatting sqref="U1:V628">
    <cfRule type="cellIs" dxfId="29" priority="45" operator="equal">
      <formula>"Cruise Missions"</formula>
    </cfRule>
  </conditionalFormatting>
  <hyperlinks>
    <hyperlink r:id="rId2" ref="C4"/>
    <hyperlink r:id="rId3" location="Retrofit" ref="C33"/>
    <hyperlink r:id="rId4" ref="C67"/>
    <hyperlink r:id="rId5" ref="C151"/>
    <hyperlink r:id="rId6" location="Retrofit" ref="C153"/>
    <hyperlink r:id="rId7" ref="C161"/>
    <hyperlink r:id="rId8" location="Retrofit" ref="C170"/>
    <hyperlink r:id="rId9" location="Retrofit" ref="C183"/>
    <hyperlink r:id="rId10" location="Retrofit" ref="C185"/>
    <hyperlink r:id="rId11" ref="C195"/>
    <hyperlink r:id="rId12" ref="C209"/>
    <hyperlink r:id="rId13" ref="C231"/>
    <hyperlink r:id="rId14" ref="C248"/>
    <hyperlink r:id="rId15" ref="C287"/>
    <hyperlink r:id="rId16" ref="C301"/>
    <hyperlink r:id="rId17" ref="C302"/>
    <hyperlink r:id="rId18" location="Retrofit" ref="C390"/>
    <hyperlink r:id="rId19" ref="C431"/>
    <hyperlink r:id="rId20" ref="C432"/>
    <hyperlink r:id="rId21" ref="C433"/>
    <hyperlink r:id="rId22" ref="C434"/>
    <hyperlink r:id="rId23" ref="C435"/>
    <hyperlink r:id="rId24" location="Retrofit" ref="C438"/>
    <hyperlink r:id="rId25" ref="C444"/>
    <hyperlink r:id="rId26" ref="C445"/>
    <hyperlink r:id="rId27" location="Retrofit" ref="C448"/>
    <hyperlink r:id="rId28" ref="C449"/>
    <hyperlink r:id="rId29" ref="C452"/>
    <hyperlink r:id="rId30" ref="C465"/>
    <hyperlink r:id="rId31" ref="C466"/>
    <hyperlink r:id="rId32" ref="C467"/>
    <hyperlink r:id="rId33" ref="C468"/>
    <hyperlink r:id="rId34" ref="C469"/>
    <hyperlink r:id="rId35" ref="C470"/>
    <hyperlink r:id="rId36" ref="C471"/>
    <hyperlink r:id="rId37" ref="C472"/>
    <hyperlink r:id="rId38" ref="C473"/>
    <hyperlink r:id="rId39" ref="C474"/>
    <hyperlink r:id="rId40" ref="C475"/>
    <hyperlink r:id="rId41" ref="C476"/>
    <hyperlink r:id="rId42" ref="C477"/>
    <hyperlink r:id="rId43" ref="C478"/>
    <hyperlink r:id="rId44" ref="C479"/>
    <hyperlink r:id="rId45" ref="C480"/>
    <hyperlink r:id="rId46" ref="C481"/>
    <hyperlink r:id="rId47" ref="C482"/>
    <hyperlink r:id="rId48" ref="C483"/>
    <hyperlink r:id="rId49" ref="C484"/>
    <hyperlink r:id="rId50" ref="C485"/>
    <hyperlink r:id="rId51" ref="C486"/>
    <hyperlink r:id="rId52" ref="C487"/>
    <hyperlink r:id="rId53" ref="C488"/>
    <hyperlink r:id="rId54" ref="C489"/>
    <hyperlink r:id="rId55" ref="C490"/>
    <hyperlink r:id="rId56" ref="C491"/>
    <hyperlink r:id="rId57" ref="C492"/>
    <hyperlink r:id="rId58" ref="C493"/>
    <hyperlink r:id="rId59" ref="C494"/>
    <hyperlink r:id="rId60" ref="C495"/>
    <hyperlink r:id="rId61" ref="C496"/>
    <hyperlink r:id="rId62" ref="C497"/>
    <hyperlink r:id="rId63" ref="C498"/>
    <hyperlink r:id="rId64" ref="C499"/>
    <hyperlink r:id="rId65" ref="C500"/>
    <hyperlink r:id="rId66" ref="C501"/>
    <hyperlink r:id="rId67" ref="C502"/>
    <hyperlink r:id="rId68" ref="C503"/>
    <hyperlink r:id="rId69" ref="C504"/>
    <hyperlink r:id="rId70" ref="C505"/>
    <hyperlink r:id="rId71" ref="C506"/>
    <hyperlink r:id="rId72" ref="C507"/>
    <hyperlink r:id="rId73" ref="C508"/>
    <hyperlink r:id="rId74" ref="C509"/>
    <hyperlink r:id="rId75" ref="C510"/>
    <hyperlink r:id="rId76" ref="C511"/>
    <hyperlink r:id="rId77" ref="C512"/>
    <hyperlink r:id="rId78" ref="C513"/>
    <hyperlink r:id="rId79" ref="C514"/>
    <hyperlink r:id="rId80" ref="C515"/>
    <hyperlink r:id="rId81" ref="C516"/>
    <hyperlink r:id="rId82" ref="C517"/>
    <hyperlink r:id="rId83" ref="C518"/>
    <hyperlink r:id="rId84" ref="C519"/>
    <hyperlink r:id="rId85" ref="C520"/>
    <hyperlink r:id="rId86" ref="C521"/>
    <hyperlink r:id="rId87" ref="C522"/>
    <hyperlink r:id="rId88" ref="C523"/>
    <hyperlink r:id="rId89" ref="C524"/>
    <hyperlink r:id="rId90" ref="C525"/>
    <hyperlink r:id="rId91" ref="C526"/>
    <hyperlink r:id="rId92" ref="C527"/>
    <hyperlink r:id="rId93" ref="C528"/>
    <hyperlink r:id="rId94" ref="C529"/>
    <hyperlink r:id="rId95" ref="C530"/>
    <hyperlink r:id="rId96" ref="C531"/>
    <hyperlink r:id="rId97" ref="C532"/>
    <hyperlink r:id="rId98" ref="C533"/>
    <hyperlink r:id="rId99" ref="C534"/>
    <hyperlink r:id="rId100" ref="C535"/>
    <hyperlink r:id="rId101" ref="C536"/>
    <hyperlink r:id="rId102" ref="C537"/>
    <hyperlink r:id="rId103" ref="C557"/>
    <hyperlink r:id="rId104" ref="C558"/>
    <hyperlink r:id="rId105" ref="C559"/>
    <hyperlink r:id="rId106" ref="C560"/>
    <hyperlink r:id="rId107" ref="C561"/>
    <hyperlink r:id="rId108" ref="C562"/>
    <hyperlink r:id="rId109" ref="C563"/>
    <hyperlink r:id="rId110" ref="C564"/>
    <hyperlink r:id="rId111" ref="C565"/>
    <hyperlink r:id="rId112" ref="C566"/>
    <hyperlink r:id="rId113" ref="C567"/>
    <hyperlink r:id="rId114" ref="C568"/>
    <hyperlink r:id="rId115" ref="C569"/>
    <hyperlink r:id="rId116" ref="C570"/>
    <hyperlink r:id="rId117" ref="C583"/>
    <hyperlink r:id="rId118" ref="C584"/>
    <hyperlink r:id="rId119" ref="C585"/>
    <hyperlink r:id="rId120" ref="C586"/>
    <hyperlink r:id="rId121" ref="C587"/>
    <hyperlink r:id="rId122" ref="C588"/>
    <hyperlink r:id="rId123" ref="C589"/>
    <hyperlink r:id="rId124" ref="C590"/>
    <hyperlink r:id="rId125" ref="C591"/>
    <hyperlink r:id="rId126" ref="C592"/>
    <hyperlink r:id="rId127" ref="C593"/>
    <hyperlink r:id="rId128" ref="C594"/>
    <hyperlink r:id="rId129" ref="C595"/>
    <hyperlink r:id="rId130" ref="C596"/>
    <hyperlink r:id="rId131" ref="C597"/>
    <hyperlink r:id="rId132" ref="C598"/>
    <hyperlink r:id="rId133" ref="C599"/>
    <hyperlink r:id="rId134" ref="C600"/>
    <hyperlink r:id="rId135" ref="C601"/>
    <hyperlink r:id="rId136" ref="C602"/>
    <hyperlink r:id="rId137" ref="C603"/>
    <hyperlink r:id="rId138" ref="C604"/>
    <hyperlink r:id="rId139" ref="C605"/>
    <hyperlink r:id="rId140" ref="C606"/>
    <hyperlink r:id="rId141" ref="C607"/>
    <hyperlink r:id="rId142" ref="C608"/>
    <hyperlink r:id="rId143" ref="C609"/>
    <hyperlink r:id="rId144" ref="C610"/>
  </hyperlinks>
  <drawing r:id="rId145"/>
  <legacyDrawing r:id="rId146"/>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FC5E8"/>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29"/>
    <col customWidth="1" min="2" max="2" width="5.14"/>
    <col customWidth="1" min="3" max="3" width="20.57"/>
    <col customWidth="1" min="4" max="4" width="10.57"/>
    <col customWidth="1" min="5" max="7" width="5.86"/>
    <col customWidth="1" hidden="1" min="8" max="8" width="5.86"/>
    <col customWidth="1" min="9" max="11" width="5.86"/>
    <col customWidth="1" hidden="1" min="12" max="12" width="5.86"/>
    <col customWidth="1" min="13" max="17" width="5.86"/>
    <col customWidth="1" hidden="1" min="18" max="19" width="5.86"/>
    <col customWidth="1" min="20" max="20" width="17.71"/>
    <col customWidth="1" min="21" max="22" width="25.86"/>
    <col customWidth="1" min="23" max="23" width="22.29"/>
    <col customWidth="1" min="24" max="24" width="20.57"/>
    <col customWidth="1" min="25" max="25" width="15.43"/>
    <col customWidth="1" min="26" max="28" width="8.0"/>
    <col customWidth="1" min="29" max="29" width="11.43"/>
  </cols>
  <sheetData>
    <row r="1">
      <c r="A1" s="135" t="s">
        <v>3</v>
      </c>
      <c r="B1" s="136" t="s">
        <v>4</v>
      </c>
      <c r="C1" s="136" t="s">
        <v>5</v>
      </c>
      <c r="D1" s="136" t="s">
        <v>6</v>
      </c>
      <c r="E1" s="137" t="s">
        <v>7</v>
      </c>
      <c r="F1" s="137" t="s">
        <v>8</v>
      </c>
      <c r="G1" s="137" t="s">
        <v>9</v>
      </c>
      <c r="H1" s="137" t="s">
        <v>10</v>
      </c>
      <c r="I1" s="137" t="s">
        <v>11</v>
      </c>
      <c r="J1" s="137" t="s">
        <v>12</v>
      </c>
      <c r="K1" s="137" t="s">
        <v>13</v>
      </c>
      <c r="L1" s="137" t="s">
        <v>14</v>
      </c>
      <c r="M1" s="137" t="s">
        <v>15</v>
      </c>
      <c r="N1" s="138" t="s">
        <v>16</v>
      </c>
      <c r="O1" s="138" t="s">
        <v>17</v>
      </c>
      <c r="P1" s="137" t="s">
        <v>18</v>
      </c>
      <c r="Q1" s="137" t="s">
        <v>19</v>
      </c>
      <c r="R1" s="137" t="s">
        <v>20</v>
      </c>
      <c r="S1" s="137" t="s">
        <v>21</v>
      </c>
      <c r="T1" s="139" t="s">
        <v>22</v>
      </c>
      <c r="U1" s="140" t="s">
        <v>541</v>
      </c>
      <c r="V1" s="140" t="s">
        <v>542</v>
      </c>
      <c r="W1" s="140" t="s">
        <v>543</v>
      </c>
      <c r="X1" s="139" t="s">
        <v>544</v>
      </c>
      <c r="Y1" s="139" t="s">
        <v>545</v>
      </c>
      <c r="Z1" s="139" t="s">
        <v>546</v>
      </c>
      <c r="AA1" s="139" t="s">
        <v>547</v>
      </c>
      <c r="AB1" s="139" t="s">
        <v>548</v>
      </c>
      <c r="AC1" s="139" t="s">
        <v>549</v>
      </c>
    </row>
    <row r="2" ht="15.75" customHeight="1">
      <c r="A2" s="141">
        <v>1.0</v>
      </c>
      <c r="B2" s="142" t="s">
        <v>27</v>
      </c>
      <c r="C2" s="143" t="str">
        <f>HYPERLINK("https://azurlane.koumakan.jp/Universal_Bullin","Universal Bullin")</f>
        <v>Universal Bullin</v>
      </c>
      <c r="D2" s="142" t="s">
        <v>28</v>
      </c>
      <c r="E2" s="144">
        <v>237.0</v>
      </c>
      <c r="F2" s="145">
        <v>23.0</v>
      </c>
      <c r="G2" s="145">
        <v>23.0</v>
      </c>
      <c r="H2" s="145">
        <v>23.0</v>
      </c>
      <c r="I2" s="145">
        <v>23.0</v>
      </c>
      <c r="J2" s="145">
        <v>118.0</v>
      </c>
      <c r="K2" s="145">
        <v>118.0</v>
      </c>
      <c r="L2" s="145" t="s">
        <v>29</v>
      </c>
      <c r="M2" s="145">
        <v>35.0</v>
      </c>
      <c r="N2" s="145">
        <v>118.0</v>
      </c>
      <c r="O2" s="146">
        <v>100.0</v>
      </c>
      <c r="P2" s="145">
        <v>34.0</v>
      </c>
      <c r="Q2" s="145">
        <v>3.0</v>
      </c>
      <c r="R2" s="145">
        <v>0.0</v>
      </c>
      <c r="S2" s="145">
        <v>0.0</v>
      </c>
      <c r="T2" s="147" t="s">
        <v>30</v>
      </c>
      <c r="U2" s="148" t="s">
        <v>550</v>
      </c>
      <c r="V2" s="149" t="s">
        <v>551</v>
      </c>
      <c r="W2" s="149" t="s">
        <v>551</v>
      </c>
      <c r="X2" s="147" t="s">
        <v>551</v>
      </c>
      <c r="Y2" s="147" t="s">
        <v>551</v>
      </c>
      <c r="Z2" s="147" t="s">
        <v>27</v>
      </c>
      <c r="AA2" s="147" t="s">
        <v>11</v>
      </c>
      <c r="AB2" s="147" t="s">
        <v>11</v>
      </c>
      <c r="AC2" s="147" t="s">
        <v>552</v>
      </c>
    </row>
    <row r="3" ht="15.75" customHeight="1">
      <c r="A3" s="141">
        <v>2.0</v>
      </c>
      <c r="B3" s="142" t="s">
        <v>27</v>
      </c>
      <c r="C3" s="143" t="str">
        <f>HYPERLINK("https://azurlane.koumakan.jp/Trial_Bullin_MKII","Prototype Bullin Mk2")</f>
        <v>Prototype Bullin Mk2</v>
      </c>
      <c r="D3" s="142" t="s">
        <v>32</v>
      </c>
      <c r="E3" s="144">
        <v>237.0</v>
      </c>
      <c r="F3" s="145">
        <v>23.0</v>
      </c>
      <c r="G3" s="145">
        <v>23.0</v>
      </c>
      <c r="H3" s="145">
        <v>23.0</v>
      </c>
      <c r="I3" s="145">
        <v>23.0</v>
      </c>
      <c r="J3" s="145">
        <v>118.0</v>
      </c>
      <c r="K3" s="145">
        <v>118.0</v>
      </c>
      <c r="L3" s="145" t="s">
        <v>29</v>
      </c>
      <c r="M3" s="145">
        <v>35.0</v>
      </c>
      <c r="N3" s="145">
        <v>118.0</v>
      </c>
      <c r="O3" s="146">
        <v>100.0</v>
      </c>
      <c r="P3" s="145">
        <v>34.0</v>
      </c>
      <c r="Q3" s="145">
        <v>3.0</v>
      </c>
      <c r="R3" s="145">
        <v>0.0</v>
      </c>
      <c r="S3" s="145">
        <v>0.0</v>
      </c>
      <c r="T3" s="147" t="s">
        <v>30</v>
      </c>
      <c r="U3" s="148" t="s">
        <v>553</v>
      </c>
      <c r="V3" s="149" t="s">
        <v>551</v>
      </c>
      <c r="W3" s="149" t="s">
        <v>551</v>
      </c>
      <c r="X3" s="147" t="s">
        <v>551</v>
      </c>
      <c r="Y3" s="147" t="s">
        <v>551</v>
      </c>
      <c r="Z3" s="147" t="s">
        <v>27</v>
      </c>
      <c r="AA3" s="147" t="s">
        <v>11</v>
      </c>
      <c r="AB3" s="147" t="s">
        <v>11</v>
      </c>
      <c r="AC3" s="147" t="s">
        <v>552</v>
      </c>
    </row>
    <row r="4" ht="15.75" customHeight="1">
      <c r="A4" s="150">
        <v>3.0</v>
      </c>
      <c r="B4" s="151" t="s">
        <v>27</v>
      </c>
      <c r="C4" s="152" t="s">
        <v>33</v>
      </c>
      <c r="D4" s="153" t="s">
        <v>34</v>
      </c>
      <c r="E4" s="154">
        <v>237.0</v>
      </c>
      <c r="F4" s="154">
        <v>23.0</v>
      </c>
      <c r="G4" s="154">
        <v>23.0</v>
      </c>
      <c r="H4" s="154">
        <v>23.0</v>
      </c>
      <c r="I4" s="154">
        <v>23.0</v>
      </c>
      <c r="J4" s="154">
        <v>118.0</v>
      </c>
      <c r="K4" s="154">
        <v>118.0</v>
      </c>
      <c r="L4" s="154" t="s">
        <v>29</v>
      </c>
      <c r="M4" s="154">
        <v>35.0</v>
      </c>
      <c r="N4" s="154">
        <v>118.0</v>
      </c>
      <c r="O4" s="155">
        <v>100.0</v>
      </c>
      <c r="P4" s="154">
        <v>34.0</v>
      </c>
      <c r="Q4" s="154">
        <v>3.0</v>
      </c>
      <c r="R4" s="154">
        <v>0.0</v>
      </c>
      <c r="S4" s="154">
        <v>0.0</v>
      </c>
      <c r="T4" s="147" t="s">
        <v>30</v>
      </c>
      <c r="U4" s="148" t="s">
        <v>33</v>
      </c>
      <c r="V4" s="153" t="s">
        <v>551</v>
      </c>
      <c r="W4" s="153" t="s">
        <v>551</v>
      </c>
      <c r="X4" s="153" t="s">
        <v>551</v>
      </c>
      <c r="Y4" s="153" t="s">
        <v>551</v>
      </c>
      <c r="Z4" s="153" t="s">
        <v>27</v>
      </c>
      <c r="AA4" s="153" t="s">
        <v>11</v>
      </c>
      <c r="AB4" s="153" t="s">
        <v>11</v>
      </c>
      <c r="AC4" s="153" t="s">
        <v>552</v>
      </c>
    </row>
    <row r="5">
      <c r="A5" s="156">
        <v>4.0</v>
      </c>
      <c r="B5" s="149" t="s">
        <v>27</v>
      </c>
      <c r="C5" s="157" t="str">
        <f>HYPERLINK("https://azurlane.koumakan.jp/Dewey","Dewey")</f>
        <v>Dewey</v>
      </c>
      <c r="D5" s="149" t="s">
        <v>36</v>
      </c>
      <c r="E5" s="158">
        <v>1687.0</v>
      </c>
      <c r="F5" s="158">
        <v>75.0</v>
      </c>
      <c r="G5" s="158">
        <v>283.0</v>
      </c>
      <c r="H5" s="158">
        <v>0.0</v>
      </c>
      <c r="I5" s="158">
        <v>189.0</v>
      </c>
      <c r="J5" s="158">
        <v>191.0</v>
      </c>
      <c r="K5" s="158">
        <v>210.0</v>
      </c>
      <c r="L5" s="158" t="s">
        <v>29</v>
      </c>
      <c r="M5" s="158">
        <v>44.0</v>
      </c>
      <c r="N5" s="145">
        <v>194.0</v>
      </c>
      <c r="O5" s="145">
        <v>72.0</v>
      </c>
      <c r="P5" s="158">
        <v>187.0</v>
      </c>
      <c r="Q5" s="158">
        <v>8.0</v>
      </c>
      <c r="R5" s="158">
        <v>0.0</v>
      </c>
      <c r="S5" s="158">
        <v>0.0</v>
      </c>
      <c r="T5" s="147" t="s">
        <v>37</v>
      </c>
      <c r="U5" s="148" t="s">
        <v>554</v>
      </c>
      <c r="V5" s="159" t="s">
        <v>551</v>
      </c>
      <c r="W5" s="159" t="s">
        <v>551</v>
      </c>
      <c r="X5" s="160" t="s">
        <v>555</v>
      </c>
      <c r="Y5" s="160" t="s">
        <v>556</v>
      </c>
      <c r="Z5" s="160" t="s">
        <v>27</v>
      </c>
      <c r="AA5" s="160" t="s">
        <v>557</v>
      </c>
      <c r="AB5" s="160" t="s">
        <v>11</v>
      </c>
      <c r="AC5" s="160" t="s">
        <v>558</v>
      </c>
    </row>
    <row r="6" ht="15.75" customHeight="1">
      <c r="A6" s="141">
        <v>5.0</v>
      </c>
      <c r="B6" s="142" t="s">
        <v>27</v>
      </c>
      <c r="C6" s="143" t="str">
        <f>HYPERLINK("https://azurlane.koumakan.jp/Cassin","Cassin")</f>
        <v>Cassin</v>
      </c>
      <c r="D6" s="142" t="s">
        <v>40</v>
      </c>
      <c r="E6" s="145">
        <v>1777.0</v>
      </c>
      <c r="F6" s="145">
        <v>77.0</v>
      </c>
      <c r="G6" s="145">
        <v>287.0</v>
      </c>
      <c r="H6" s="145">
        <v>0.0</v>
      </c>
      <c r="I6" s="145">
        <v>171.0</v>
      </c>
      <c r="J6" s="145">
        <v>193.0</v>
      </c>
      <c r="K6" s="145">
        <v>210.0</v>
      </c>
      <c r="L6" s="145" t="s">
        <v>29</v>
      </c>
      <c r="M6" s="145">
        <v>44.0</v>
      </c>
      <c r="N6" s="145">
        <v>205.0</v>
      </c>
      <c r="O6" s="145">
        <v>66.0</v>
      </c>
      <c r="P6" s="145">
        <v>184.0</v>
      </c>
      <c r="Q6" s="145">
        <v>7.0</v>
      </c>
      <c r="R6" s="145">
        <v>0.0</v>
      </c>
      <c r="S6" s="145">
        <v>0.0</v>
      </c>
      <c r="T6" s="147" t="s">
        <v>37</v>
      </c>
      <c r="U6" s="161" t="s">
        <v>559</v>
      </c>
      <c r="V6" s="149" t="s">
        <v>551</v>
      </c>
      <c r="W6" s="149" t="s">
        <v>551</v>
      </c>
      <c r="X6" s="162" t="s">
        <v>560</v>
      </c>
      <c r="Y6" s="162" t="s">
        <v>561</v>
      </c>
      <c r="Z6" s="147" t="s">
        <v>27</v>
      </c>
      <c r="AA6" s="147" t="s">
        <v>557</v>
      </c>
      <c r="AB6" s="147" t="s">
        <v>11</v>
      </c>
      <c r="AC6" s="147" t="s">
        <v>558</v>
      </c>
    </row>
    <row r="7" ht="15.75" customHeight="1">
      <c r="A7" s="141">
        <v>5.1</v>
      </c>
      <c r="B7" s="142" t="s">
        <v>27</v>
      </c>
      <c r="C7" s="143" t="str">
        <f>HYPERLINK("https://azurlane.koumakan.jp/Cassin#Retrofit","Cassin (R)")</f>
        <v>Cassin (R)</v>
      </c>
      <c r="D7" s="142" t="s">
        <v>36</v>
      </c>
      <c r="E7" s="144">
        <v>1942.0</v>
      </c>
      <c r="F7" s="145">
        <v>102.0</v>
      </c>
      <c r="G7" s="145">
        <v>297.0</v>
      </c>
      <c r="H7" s="145">
        <v>0.0</v>
      </c>
      <c r="I7" s="145">
        <v>171.0</v>
      </c>
      <c r="J7" s="145">
        <v>213.0</v>
      </c>
      <c r="K7" s="145">
        <v>235.0</v>
      </c>
      <c r="L7" s="145" t="s">
        <v>29</v>
      </c>
      <c r="M7" s="145">
        <v>47.0</v>
      </c>
      <c r="N7" s="145">
        <v>205.0</v>
      </c>
      <c r="O7" s="146">
        <v>66.0</v>
      </c>
      <c r="P7" s="145">
        <v>184.0</v>
      </c>
      <c r="Q7" s="145">
        <v>7.0</v>
      </c>
      <c r="R7" s="145">
        <v>0.0</v>
      </c>
      <c r="S7" s="145">
        <v>0.0</v>
      </c>
      <c r="T7" s="147" t="s">
        <v>37</v>
      </c>
      <c r="U7" s="161" t="s">
        <v>559</v>
      </c>
      <c r="V7" s="163" t="s">
        <v>551</v>
      </c>
      <c r="W7" s="164" t="s">
        <v>562</v>
      </c>
      <c r="X7" s="162" t="s">
        <v>560</v>
      </c>
      <c r="Y7" s="162" t="s">
        <v>561</v>
      </c>
      <c r="Z7" s="147" t="s">
        <v>27</v>
      </c>
      <c r="AA7" s="147" t="s">
        <v>557</v>
      </c>
      <c r="AB7" s="147" t="s">
        <v>11</v>
      </c>
      <c r="AC7" s="147" t="s">
        <v>563</v>
      </c>
    </row>
    <row r="8" ht="15.75" customHeight="1">
      <c r="A8" s="141">
        <v>6.0</v>
      </c>
      <c r="B8" s="142" t="s">
        <v>27</v>
      </c>
      <c r="C8" s="143" t="str">
        <f>HYPERLINK("https://azurlane.koumakan.jp/Downes","Downes")</f>
        <v>Downes</v>
      </c>
      <c r="D8" s="142" t="s">
        <v>40</v>
      </c>
      <c r="E8" s="165">
        <v>1777.0</v>
      </c>
      <c r="F8" s="145">
        <v>77.0</v>
      </c>
      <c r="G8" s="145">
        <v>287.0</v>
      </c>
      <c r="H8" s="145">
        <v>0.0</v>
      </c>
      <c r="I8" s="145">
        <v>171.0</v>
      </c>
      <c r="J8" s="145">
        <v>193.0</v>
      </c>
      <c r="K8" s="145">
        <v>210.0</v>
      </c>
      <c r="L8" s="145" t="s">
        <v>29</v>
      </c>
      <c r="M8" s="145">
        <v>44.0</v>
      </c>
      <c r="N8" s="145">
        <v>205.0</v>
      </c>
      <c r="O8" s="166">
        <v>63.0</v>
      </c>
      <c r="P8" s="145">
        <v>184.0</v>
      </c>
      <c r="Q8" s="145">
        <v>7.0</v>
      </c>
      <c r="R8" s="145">
        <v>0.0</v>
      </c>
      <c r="S8" s="145">
        <v>0.0</v>
      </c>
      <c r="T8" s="147" t="s">
        <v>37</v>
      </c>
      <c r="U8" s="161" t="s">
        <v>559</v>
      </c>
      <c r="V8" s="149" t="s">
        <v>551</v>
      </c>
      <c r="W8" s="149" t="s">
        <v>551</v>
      </c>
      <c r="X8" s="162" t="s">
        <v>560</v>
      </c>
      <c r="Y8" s="162" t="s">
        <v>561</v>
      </c>
      <c r="Z8" s="147" t="s">
        <v>27</v>
      </c>
      <c r="AA8" s="147" t="s">
        <v>557</v>
      </c>
      <c r="AB8" s="147" t="s">
        <v>11</v>
      </c>
      <c r="AC8" s="147" t="s">
        <v>558</v>
      </c>
    </row>
    <row r="9" ht="15.75" customHeight="1">
      <c r="A9" s="141">
        <v>6.1</v>
      </c>
      <c r="B9" s="142" t="s">
        <v>27</v>
      </c>
      <c r="C9" s="143" t="str">
        <f>HYPERLINK("https://azurlane.koumakan.jp/Downes#Retrofit","Downes (R)")</f>
        <v>Downes (R)</v>
      </c>
      <c r="D9" s="142" t="s">
        <v>36</v>
      </c>
      <c r="E9" s="144">
        <v>1942.0</v>
      </c>
      <c r="F9" s="158">
        <v>102.0</v>
      </c>
      <c r="G9" s="158">
        <v>297.0</v>
      </c>
      <c r="H9" s="167">
        <v>0.0</v>
      </c>
      <c r="I9" s="158">
        <v>171.0</v>
      </c>
      <c r="J9" s="158">
        <v>213.0</v>
      </c>
      <c r="K9" s="158">
        <v>235.0</v>
      </c>
      <c r="L9" s="167" t="s">
        <v>29</v>
      </c>
      <c r="M9" s="167">
        <v>47.0</v>
      </c>
      <c r="N9" s="158">
        <v>205.0</v>
      </c>
      <c r="O9" s="146">
        <v>63.0</v>
      </c>
      <c r="P9" s="158">
        <v>184.0</v>
      </c>
      <c r="Q9" s="167">
        <v>7.0</v>
      </c>
      <c r="R9" s="167">
        <v>0.0</v>
      </c>
      <c r="S9" s="167">
        <v>0.0</v>
      </c>
      <c r="T9" s="147" t="s">
        <v>37</v>
      </c>
      <c r="U9" s="161" t="s">
        <v>559</v>
      </c>
      <c r="V9" s="163" t="s">
        <v>551</v>
      </c>
      <c r="W9" s="164" t="s">
        <v>562</v>
      </c>
      <c r="X9" s="162" t="s">
        <v>560</v>
      </c>
      <c r="Y9" s="162" t="s">
        <v>561</v>
      </c>
      <c r="Z9" s="147" t="s">
        <v>27</v>
      </c>
      <c r="AA9" s="147" t="s">
        <v>557</v>
      </c>
      <c r="AB9" s="147" t="s">
        <v>11</v>
      </c>
      <c r="AC9" s="147" t="s">
        <v>563</v>
      </c>
    </row>
    <row r="10" ht="15.75" customHeight="1">
      <c r="A10" s="141">
        <v>7.0</v>
      </c>
      <c r="B10" s="142" t="s">
        <v>27</v>
      </c>
      <c r="C10" s="143" t="str">
        <f>HYPERLINK("https://azurlane.koumakan.jp/Gridley","Gridley")</f>
        <v>Gridley</v>
      </c>
      <c r="D10" s="142" t="s">
        <v>36</v>
      </c>
      <c r="E10" s="165">
        <v>1854.0</v>
      </c>
      <c r="F10" s="145">
        <v>74.0</v>
      </c>
      <c r="G10" s="145">
        <v>444.0</v>
      </c>
      <c r="H10" s="145">
        <v>0.0</v>
      </c>
      <c r="I10" s="145">
        <v>177.0</v>
      </c>
      <c r="J10" s="145">
        <v>204.0</v>
      </c>
      <c r="K10" s="145">
        <v>210.0</v>
      </c>
      <c r="L10" s="145" t="s">
        <v>29</v>
      </c>
      <c r="M10" s="145">
        <v>46.0</v>
      </c>
      <c r="N10" s="145">
        <v>218.0</v>
      </c>
      <c r="O10" s="166">
        <v>72.0</v>
      </c>
      <c r="P10" s="145">
        <v>204.0</v>
      </c>
      <c r="Q10" s="145">
        <v>8.0</v>
      </c>
      <c r="R10" s="145">
        <v>0.0</v>
      </c>
      <c r="S10" s="145">
        <v>0.0</v>
      </c>
      <c r="T10" s="147" t="s">
        <v>37</v>
      </c>
      <c r="U10" s="148" t="s">
        <v>564</v>
      </c>
      <c r="V10" s="164" t="s">
        <v>565</v>
      </c>
      <c r="W10" s="149" t="s">
        <v>551</v>
      </c>
      <c r="X10" s="162" t="s">
        <v>566</v>
      </c>
      <c r="Y10" s="162" t="s">
        <v>567</v>
      </c>
      <c r="Z10" s="147" t="s">
        <v>27</v>
      </c>
      <c r="AA10" s="147" t="s">
        <v>557</v>
      </c>
      <c r="AB10" s="147" t="s">
        <v>11</v>
      </c>
      <c r="AC10" s="147" t="s">
        <v>568</v>
      </c>
    </row>
    <row r="11" ht="15.75" customHeight="1">
      <c r="A11" s="141">
        <v>8.0</v>
      </c>
      <c r="B11" s="142" t="s">
        <v>27</v>
      </c>
      <c r="C11" s="143" t="str">
        <f>HYPERLINK("https://azurlane.koumakan.jp/Craven","Craven")</f>
        <v>Craven</v>
      </c>
      <c r="D11" s="142" t="s">
        <v>40</v>
      </c>
      <c r="E11" s="145">
        <v>1818.0</v>
      </c>
      <c r="F11" s="145">
        <v>73.0</v>
      </c>
      <c r="G11" s="145">
        <v>434.0</v>
      </c>
      <c r="H11" s="145">
        <v>0.0</v>
      </c>
      <c r="I11" s="145">
        <v>175.0</v>
      </c>
      <c r="J11" s="145">
        <v>199.0</v>
      </c>
      <c r="K11" s="145">
        <v>210.0</v>
      </c>
      <c r="L11" s="145" t="s">
        <v>29</v>
      </c>
      <c r="M11" s="145">
        <v>46.0</v>
      </c>
      <c r="N11" s="145">
        <v>218.0</v>
      </c>
      <c r="O11" s="145">
        <v>72.0</v>
      </c>
      <c r="P11" s="145">
        <v>195.0</v>
      </c>
      <c r="Q11" s="145">
        <v>8.0</v>
      </c>
      <c r="R11" s="145">
        <v>0.0</v>
      </c>
      <c r="S11" s="145">
        <v>0.0</v>
      </c>
      <c r="T11" s="147" t="s">
        <v>37</v>
      </c>
      <c r="U11" s="164" t="s">
        <v>565</v>
      </c>
      <c r="V11" s="149" t="s">
        <v>551</v>
      </c>
      <c r="W11" s="149" t="s">
        <v>551</v>
      </c>
      <c r="X11" s="162" t="s">
        <v>566</v>
      </c>
      <c r="Y11" s="162" t="s">
        <v>567</v>
      </c>
      <c r="Z11" s="147" t="s">
        <v>27</v>
      </c>
      <c r="AA11" s="147" t="s">
        <v>557</v>
      </c>
      <c r="AB11" s="147" t="s">
        <v>11</v>
      </c>
      <c r="AC11" s="147" t="s">
        <v>568</v>
      </c>
    </row>
    <row r="12" ht="15.75" customHeight="1">
      <c r="A12" s="141">
        <v>9.0</v>
      </c>
      <c r="B12" s="142" t="s">
        <v>27</v>
      </c>
      <c r="C12" s="143" t="str">
        <f>HYPERLINK("https://azurlane.koumakan.jp/McCall","McCall")</f>
        <v>McCall</v>
      </c>
      <c r="D12" s="142" t="s">
        <v>40</v>
      </c>
      <c r="E12" s="145">
        <v>1766.0</v>
      </c>
      <c r="F12" s="145">
        <v>73.0</v>
      </c>
      <c r="G12" s="145">
        <v>434.0</v>
      </c>
      <c r="H12" s="145">
        <v>0.0</v>
      </c>
      <c r="I12" s="145">
        <v>175.0</v>
      </c>
      <c r="J12" s="145">
        <v>199.0</v>
      </c>
      <c r="K12" s="145">
        <v>210.0</v>
      </c>
      <c r="L12" s="145" t="s">
        <v>29</v>
      </c>
      <c r="M12" s="145">
        <v>43.0</v>
      </c>
      <c r="N12" s="145">
        <v>218.0</v>
      </c>
      <c r="O12" s="145">
        <v>69.0</v>
      </c>
      <c r="P12" s="145">
        <v>195.0</v>
      </c>
      <c r="Q12" s="145">
        <v>8.0</v>
      </c>
      <c r="R12" s="145">
        <v>0.0</v>
      </c>
      <c r="S12" s="145">
        <v>0.0</v>
      </c>
      <c r="T12" s="147" t="s">
        <v>37</v>
      </c>
      <c r="U12" s="164" t="s">
        <v>565</v>
      </c>
      <c r="V12" s="149" t="s">
        <v>551</v>
      </c>
      <c r="W12" s="149" t="s">
        <v>551</v>
      </c>
      <c r="X12" s="162" t="s">
        <v>566</v>
      </c>
      <c r="Y12" s="162" t="s">
        <v>567</v>
      </c>
      <c r="Z12" s="147" t="s">
        <v>27</v>
      </c>
      <c r="AA12" s="147" t="s">
        <v>557</v>
      </c>
      <c r="AB12" s="147" t="s">
        <v>11</v>
      </c>
      <c r="AC12" s="147" t="s">
        <v>568</v>
      </c>
    </row>
    <row r="13" ht="15.75" customHeight="1">
      <c r="A13" s="141">
        <v>10.0</v>
      </c>
      <c r="B13" s="142" t="s">
        <v>27</v>
      </c>
      <c r="C13" s="143" t="str">
        <f>HYPERLINK("https://azurlane.koumakan.jp/Maury","Maury")</f>
        <v>Maury</v>
      </c>
      <c r="D13" s="142" t="s">
        <v>28</v>
      </c>
      <c r="E13" s="145">
        <v>1853.0</v>
      </c>
      <c r="F13" s="145">
        <v>77.0</v>
      </c>
      <c r="G13" s="145">
        <v>454.0</v>
      </c>
      <c r="H13" s="145">
        <v>0.0</v>
      </c>
      <c r="I13" s="145">
        <v>182.0</v>
      </c>
      <c r="J13" s="145">
        <v>210.0</v>
      </c>
      <c r="K13" s="145">
        <v>256.0</v>
      </c>
      <c r="L13" s="145" t="s">
        <v>29</v>
      </c>
      <c r="M13" s="145">
        <v>43.0</v>
      </c>
      <c r="N13" s="145">
        <v>218.0</v>
      </c>
      <c r="O13" s="145">
        <v>69.0</v>
      </c>
      <c r="P13" s="145">
        <v>206.0</v>
      </c>
      <c r="Q13" s="145">
        <v>9.0</v>
      </c>
      <c r="R13" s="145">
        <v>0.0</v>
      </c>
      <c r="S13" s="145">
        <v>0.0</v>
      </c>
      <c r="T13" s="147" t="s">
        <v>37</v>
      </c>
      <c r="U13" s="161" t="s">
        <v>569</v>
      </c>
      <c r="V13" s="164" t="s">
        <v>565</v>
      </c>
      <c r="W13" s="149" t="s">
        <v>551</v>
      </c>
      <c r="X13" s="162" t="s">
        <v>566</v>
      </c>
      <c r="Y13" s="162" t="s">
        <v>567</v>
      </c>
      <c r="Z13" s="147" t="s">
        <v>27</v>
      </c>
      <c r="AA13" s="147" t="s">
        <v>557</v>
      </c>
      <c r="AB13" s="147" t="s">
        <v>11</v>
      </c>
      <c r="AC13" s="147" t="s">
        <v>570</v>
      </c>
    </row>
    <row r="14" ht="15.75" customHeight="1">
      <c r="A14" s="141">
        <v>11.0</v>
      </c>
      <c r="B14" s="142" t="s">
        <v>27</v>
      </c>
      <c r="C14" s="143" t="str">
        <f>HYPERLINK("https://azurlane.koumakan.jp/Fletcher","Fletcher")</f>
        <v>Fletcher</v>
      </c>
      <c r="D14" s="142" t="s">
        <v>36</v>
      </c>
      <c r="E14" s="145">
        <v>2128.0</v>
      </c>
      <c r="F14" s="145">
        <v>87.0</v>
      </c>
      <c r="G14" s="145">
        <v>287.0</v>
      </c>
      <c r="H14" s="145">
        <v>0.0</v>
      </c>
      <c r="I14" s="145">
        <v>176.0</v>
      </c>
      <c r="J14" s="145">
        <v>199.0</v>
      </c>
      <c r="K14" s="145">
        <v>207.0</v>
      </c>
      <c r="L14" s="145" t="s">
        <v>29</v>
      </c>
      <c r="M14" s="145">
        <v>43.0</v>
      </c>
      <c r="N14" s="145">
        <v>212.0</v>
      </c>
      <c r="O14" s="145">
        <v>73.0</v>
      </c>
      <c r="P14" s="145">
        <v>209.0</v>
      </c>
      <c r="Q14" s="145">
        <v>8.0</v>
      </c>
      <c r="R14" s="145">
        <v>0.0</v>
      </c>
      <c r="S14" s="145">
        <v>0.0</v>
      </c>
      <c r="T14" s="147" t="s">
        <v>37</v>
      </c>
      <c r="U14" s="148" t="s">
        <v>571</v>
      </c>
      <c r="V14" s="148" t="s">
        <v>572</v>
      </c>
      <c r="W14" s="149" t="s">
        <v>551</v>
      </c>
      <c r="X14" s="147" t="s">
        <v>573</v>
      </c>
      <c r="Y14" s="147" t="s">
        <v>556</v>
      </c>
      <c r="Z14" s="147" t="s">
        <v>27</v>
      </c>
      <c r="AA14" s="147" t="s">
        <v>557</v>
      </c>
      <c r="AB14" s="147" t="s">
        <v>11</v>
      </c>
      <c r="AC14" s="147" t="s">
        <v>558</v>
      </c>
    </row>
    <row r="15" ht="15.75" customHeight="1">
      <c r="A15" s="141">
        <v>13.0</v>
      </c>
      <c r="B15" s="142" t="s">
        <v>27</v>
      </c>
      <c r="C15" s="143" t="str">
        <f>HYPERLINK("https://azurlane.koumakan.jp/Charles_Ausburne","Charles Ausburne")</f>
        <v>Charles Ausburne</v>
      </c>
      <c r="D15" s="142" t="s">
        <v>28</v>
      </c>
      <c r="E15" s="165">
        <v>2164.0</v>
      </c>
      <c r="F15" s="145">
        <v>88.0</v>
      </c>
      <c r="G15" s="145">
        <v>295.0</v>
      </c>
      <c r="H15" s="145">
        <v>0.0</v>
      </c>
      <c r="I15" s="145">
        <v>182.0</v>
      </c>
      <c r="J15" s="145">
        <v>218.0</v>
      </c>
      <c r="K15" s="145">
        <v>205.0</v>
      </c>
      <c r="L15" s="145" t="s">
        <v>29</v>
      </c>
      <c r="M15" s="145">
        <v>42.0</v>
      </c>
      <c r="N15" s="145">
        <v>233.0</v>
      </c>
      <c r="O15" s="166">
        <v>82.0</v>
      </c>
      <c r="P15" s="145">
        <v>215.0</v>
      </c>
      <c r="Q15" s="145">
        <v>9.0</v>
      </c>
      <c r="R15" s="145">
        <v>0.0</v>
      </c>
      <c r="S15" s="145">
        <v>0.0</v>
      </c>
      <c r="T15" s="147" t="s">
        <v>37</v>
      </c>
      <c r="U15" s="148" t="s">
        <v>574</v>
      </c>
      <c r="V15" s="164" t="s">
        <v>575</v>
      </c>
      <c r="W15" s="149" t="s">
        <v>551</v>
      </c>
      <c r="X15" s="147" t="s">
        <v>573</v>
      </c>
      <c r="Y15" s="147" t="s">
        <v>556</v>
      </c>
      <c r="Z15" s="147" t="s">
        <v>27</v>
      </c>
      <c r="AA15" s="147" t="s">
        <v>557</v>
      </c>
      <c r="AB15" s="147" t="s">
        <v>11</v>
      </c>
      <c r="AC15" s="147" t="s">
        <v>576</v>
      </c>
    </row>
    <row r="16" ht="15.75" customHeight="1">
      <c r="A16" s="141">
        <v>14.0</v>
      </c>
      <c r="B16" s="142" t="s">
        <v>27</v>
      </c>
      <c r="C16" s="143" t="str">
        <f>HYPERLINK("https://azurlane.koumakan.jp/Thatcher","Thatcher")</f>
        <v>Thatcher</v>
      </c>
      <c r="D16" s="142" t="s">
        <v>36</v>
      </c>
      <c r="E16" s="165">
        <v>2086.0</v>
      </c>
      <c r="F16" s="145">
        <v>87.0</v>
      </c>
      <c r="G16" s="145">
        <v>287.0</v>
      </c>
      <c r="H16" s="145">
        <v>0.0</v>
      </c>
      <c r="I16" s="145">
        <v>176.0</v>
      </c>
      <c r="J16" s="145">
        <v>212.0</v>
      </c>
      <c r="K16" s="145">
        <v>205.0</v>
      </c>
      <c r="L16" s="145" t="s">
        <v>29</v>
      </c>
      <c r="M16" s="145">
        <v>42.0</v>
      </c>
      <c r="N16" s="145">
        <v>222.0</v>
      </c>
      <c r="O16" s="166">
        <v>65.0</v>
      </c>
      <c r="P16" s="145">
        <v>209.0</v>
      </c>
      <c r="Q16" s="145">
        <v>8.0</v>
      </c>
      <c r="R16" s="145">
        <v>0.0</v>
      </c>
      <c r="S16" s="145">
        <v>0.0</v>
      </c>
      <c r="T16" s="147" t="s">
        <v>37</v>
      </c>
      <c r="U16" s="164" t="s">
        <v>575</v>
      </c>
      <c r="V16" s="149" t="s">
        <v>551</v>
      </c>
      <c r="W16" s="149" t="s">
        <v>551</v>
      </c>
      <c r="X16" s="147" t="s">
        <v>573</v>
      </c>
      <c r="Y16" s="147" t="s">
        <v>556</v>
      </c>
      <c r="Z16" s="147" t="s">
        <v>27</v>
      </c>
      <c r="AA16" s="147" t="s">
        <v>557</v>
      </c>
      <c r="AB16" s="147" t="s">
        <v>11</v>
      </c>
      <c r="AC16" s="147" t="s">
        <v>558</v>
      </c>
    </row>
    <row r="17" ht="15.75" customHeight="1">
      <c r="A17" s="141">
        <v>15.0</v>
      </c>
      <c r="B17" s="142" t="s">
        <v>27</v>
      </c>
      <c r="C17" s="143" t="str">
        <f>HYPERLINK("https://azurlane.koumakan.jp/Aulick","Aulick")</f>
        <v>Aulick</v>
      </c>
      <c r="D17" s="142" t="s">
        <v>40</v>
      </c>
      <c r="E17" s="165">
        <v>2046.0</v>
      </c>
      <c r="F17" s="145">
        <v>84.0</v>
      </c>
      <c r="G17" s="145">
        <v>282.0</v>
      </c>
      <c r="H17" s="145">
        <v>0.0</v>
      </c>
      <c r="I17" s="145">
        <v>174.0</v>
      </c>
      <c r="J17" s="145">
        <v>207.0</v>
      </c>
      <c r="K17" s="145">
        <v>205.0</v>
      </c>
      <c r="L17" s="145" t="s">
        <v>29</v>
      </c>
      <c r="M17" s="145">
        <v>42.0</v>
      </c>
      <c r="N17" s="145">
        <v>222.0</v>
      </c>
      <c r="O17" s="166">
        <v>62.0</v>
      </c>
      <c r="P17" s="145">
        <v>206.0</v>
      </c>
      <c r="Q17" s="145">
        <v>7.0</v>
      </c>
      <c r="R17" s="145">
        <v>0.0</v>
      </c>
      <c r="S17" s="145">
        <v>0.0</v>
      </c>
      <c r="T17" s="147" t="s">
        <v>37</v>
      </c>
      <c r="U17" s="164" t="s">
        <v>562</v>
      </c>
      <c r="V17" s="149" t="s">
        <v>551</v>
      </c>
      <c r="W17" s="149" t="s">
        <v>551</v>
      </c>
      <c r="X17" s="147" t="s">
        <v>573</v>
      </c>
      <c r="Y17" s="147" t="s">
        <v>556</v>
      </c>
      <c r="Z17" s="147" t="s">
        <v>27</v>
      </c>
      <c r="AA17" s="147" t="s">
        <v>557</v>
      </c>
      <c r="AB17" s="147" t="s">
        <v>11</v>
      </c>
      <c r="AC17" s="147" t="s">
        <v>558</v>
      </c>
    </row>
    <row r="18" ht="15.75" customHeight="1">
      <c r="A18" s="141">
        <v>16.0</v>
      </c>
      <c r="B18" s="142" t="s">
        <v>27</v>
      </c>
      <c r="C18" s="143" t="str">
        <f>HYPERLINK("https://azurlane.koumakan.jp/Foote","Foote")</f>
        <v>Foote</v>
      </c>
      <c r="D18" s="142" t="s">
        <v>40</v>
      </c>
      <c r="E18" s="165">
        <v>2046.0</v>
      </c>
      <c r="F18" s="145">
        <v>84.0</v>
      </c>
      <c r="G18" s="145">
        <v>282.0</v>
      </c>
      <c r="H18" s="145">
        <v>0.0</v>
      </c>
      <c r="I18" s="145">
        <v>174.0</v>
      </c>
      <c r="J18" s="145">
        <v>199.0</v>
      </c>
      <c r="K18" s="145">
        <v>205.0</v>
      </c>
      <c r="L18" s="145" t="s">
        <v>29</v>
      </c>
      <c r="M18" s="145">
        <v>42.0</v>
      </c>
      <c r="N18" s="145">
        <v>222.0</v>
      </c>
      <c r="O18" s="166">
        <v>67.0</v>
      </c>
      <c r="P18" s="145">
        <v>206.0</v>
      </c>
      <c r="Q18" s="145">
        <v>7.0</v>
      </c>
      <c r="R18" s="145">
        <v>0.0</v>
      </c>
      <c r="S18" s="145">
        <v>0.0</v>
      </c>
      <c r="T18" s="147" t="s">
        <v>37</v>
      </c>
      <c r="U18" s="164" t="s">
        <v>562</v>
      </c>
      <c r="V18" s="149" t="s">
        <v>551</v>
      </c>
      <c r="W18" s="149" t="s">
        <v>551</v>
      </c>
      <c r="X18" s="147" t="s">
        <v>573</v>
      </c>
      <c r="Y18" s="147" t="s">
        <v>556</v>
      </c>
      <c r="Z18" s="147" t="s">
        <v>27</v>
      </c>
      <c r="AA18" s="147" t="s">
        <v>557</v>
      </c>
      <c r="AB18" s="147" t="s">
        <v>11</v>
      </c>
      <c r="AC18" s="147" t="s">
        <v>558</v>
      </c>
    </row>
    <row r="19" ht="15.75" customHeight="1">
      <c r="A19" s="141">
        <v>17.0</v>
      </c>
      <c r="B19" s="142" t="s">
        <v>27</v>
      </c>
      <c r="C19" s="143" t="str">
        <f>HYPERLINK("https://azurlane.koumakan.jp/Spence","Spence")</f>
        <v>Spence</v>
      </c>
      <c r="D19" s="142" t="s">
        <v>40</v>
      </c>
      <c r="E19" s="165">
        <v>2046.0</v>
      </c>
      <c r="F19" s="145">
        <v>84.0</v>
      </c>
      <c r="G19" s="145">
        <v>282.0</v>
      </c>
      <c r="H19" s="145">
        <v>0.0</v>
      </c>
      <c r="I19" s="145">
        <v>174.0</v>
      </c>
      <c r="J19" s="145">
        <v>199.0</v>
      </c>
      <c r="K19" s="145">
        <v>205.0</v>
      </c>
      <c r="L19" s="145" t="s">
        <v>29</v>
      </c>
      <c r="M19" s="145">
        <v>42.0</v>
      </c>
      <c r="N19" s="145">
        <v>222.0</v>
      </c>
      <c r="O19" s="166">
        <v>20.0</v>
      </c>
      <c r="P19" s="145">
        <v>206.0</v>
      </c>
      <c r="Q19" s="145">
        <v>7.0</v>
      </c>
      <c r="R19" s="145">
        <v>0.0</v>
      </c>
      <c r="S19" s="145">
        <v>0.0</v>
      </c>
      <c r="T19" s="147" t="s">
        <v>37</v>
      </c>
      <c r="U19" s="164" t="s">
        <v>562</v>
      </c>
      <c r="V19" s="149" t="s">
        <v>551</v>
      </c>
      <c r="W19" s="149" t="s">
        <v>551</v>
      </c>
      <c r="X19" s="147" t="s">
        <v>573</v>
      </c>
      <c r="Y19" s="147" t="s">
        <v>556</v>
      </c>
      <c r="Z19" s="147" t="s">
        <v>27</v>
      </c>
      <c r="AA19" s="147" t="s">
        <v>557</v>
      </c>
      <c r="AB19" s="147" t="s">
        <v>11</v>
      </c>
      <c r="AC19" s="147" t="s">
        <v>558</v>
      </c>
    </row>
    <row r="20" ht="15.75" customHeight="1">
      <c r="A20" s="141">
        <v>18.0</v>
      </c>
      <c r="B20" s="142" t="s">
        <v>27</v>
      </c>
      <c r="C20" s="143" t="str">
        <f>HYPERLINK("https://azurlane.koumakan.jp/Benson","Benson")</f>
        <v>Benson</v>
      </c>
      <c r="D20" s="142" t="s">
        <v>36</v>
      </c>
      <c r="E20" s="165">
        <v>1870.0</v>
      </c>
      <c r="F20" s="145">
        <v>89.0</v>
      </c>
      <c r="G20" s="145">
        <v>324.0</v>
      </c>
      <c r="H20" s="145">
        <v>0.0</v>
      </c>
      <c r="I20" s="145">
        <v>175.0</v>
      </c>
      <c r="J20" s="145">
        <v>207.0</v>
      </c>
      <c r="K20" s="145">
        <v>210.0</v>
      </c>
      <c r="L20" s="145" t="s">
        <v>29</v>
      </c>
      <c r="M20" s="145">
        <v>45.0</v>
      </c>
      <c r="N20" s="145">
        <v>207.0</v>
      </c>
      <c r="O20" s="166">
        <v>72.0</v>
      </c>
      <c r="P20" s="145">
        <v>196.0</v>
      </c>
      <c r="Q20" s="145">
        <v>8.0</v>
      </c>
      <c r="R20" s="145">
        <v>0.0</v>
      </c>
      <c r="S20" s="145">
        <v>0.0</v>
      </c>
      <c r="T20" s="147" t="s">
        <v>37</v>
      </c>
      <c r="U20" s="148" t="s">
        <v>577</v>
      </c>
      <c r="V20" s="149" t="s">
        <v>551</v>
      </c>
      <c r="W20" s="149" t="s">
        <v>551</v>
      </c>
      <c r="X20" s="147" t="s">
        <v>578</v>
      </c>
      <c r="Y20" s="147" t="s">
        <v>556</v>
      </c>
      <c r="Z20" s="147" t="s">
        <v>27</v>
      </c>
      <c r="AA20" s="147" t="s">
        <v>557</v>
      </c>
      <c r="AB20" s="147" t="s">
        <v>11</v>
      </c>
      <c r="AC20" s="147" t="s">
        <v>579</v>
      </c>
    </row>
    <row r="21" ht="15.75" customHeight="1">
      <c r="A21" s="141">
        <v>19.0</v>
      </c>
      <c r="B21" s="142" t="s">
        <v>27</v>
      </c>
      <c r="C21" s="143" t="str">
        <f>HYPERLINK("https://azurlane.koumakan.jp/Laffey","Laffey")</f>
        <v>Laffey</v>
      </c>
      <c r="D21" s="142" t="s">
        <v>28</v>
      </c>
      <c r="E21" s="165">
        <v>2029.0</v>
      </c>
      <c r="F21" s="145">
        <v>102.0</v>
      </c>
      <c r="G21" s="145">
        <v>306.0</v>
      </c>
      <c r="H21" s="145">
        <v>0.0</v>
      </c>
      <c r="I21" s="145">
        <v>180.0</v>
      </c>
      <c r="J21" s="145">
        <v>223.0</v>
      </c>
      <c r="K21" s="145">
        <v>210.0</v>
      </c>
      <c r="L21" s="145" t="s">
        <v>29</v>
      </c>
      <c r="M21" s="145">
        <v>45.0</v>
      </c>
      <c r="N21" s="145">
        <v>230.0</v>
      </c>
      <c r="O21" s="166">
        <v>18.0</v>
      </c>
      <c r="P21" s="145">
        <v>202.0</v>
      </c>
      <c r="Q21" s="145">
        <v>9.0</v>
      </c>
      <c r="R21" s="145">
        <v>0.0</v>
      </c>
      <c r="S21" s="145">
        <v>0.0</v>
      </c>
      <c r="T21" s="147" t="s">
        <v>37</v>
      </c>
      <c r="U21" s="164" t="s">
        <v>580</v>
      </c>
      <c r="V21" s="149" t="s">
        <v>551</v>
      </c>
      <c r="W21" s="149" t="s">
        <v>551</v>
      </c>
      <c r="X21" s="147" t="s">
        <v>581</v>
      </c>
      <c r="Y21" s="147" t="s">
        <v>561</v>
      </c>
      <c r="Z21" s="147" t="s">
        <v>27</v>
      </c>
      <c r="AA21" s="147" t="s">
        <v>557</v>
      </c>
      <c r="AB21" s="147" t="s">
        <v>11</v>
      </c>
      <c r="AC21" s="147" t="s">
        <v>582</v>
      </c>
    </row>
    <row r="22" ht="15.75" customHeight="1">
      <c r="A22" s="141">
        <v>19.1</v>
      </c>
      <c r="B22" s="142" t="s">
        <v>27</v>
      </c>
      <c r="C22" s="143" t="str">
        <f>HYPERLINK("https://azurlane.koumakan.jp/Laffey#Retrofit","Laffey (R)")</f>
        <v>Laffey (R)</v>
      </c>
      <c r="D22" s="142" t="s">
        <v>32</v>
      </c>
      <c r="E22" s="144">
        <v>2194.0</v>
      </c>
      <c r="F22" s="145">
        <v>162.0</v>
      </c>
      <c r="G22" s="145">
        <v>346.0</v>
      </c>
      <c r="H22" s="145">
        <v>0.0</v>
      </c>
      <c r="I22" s="145">
        <v>180.0</v>
      </c>
      <c r="J22" s="145">
        <v>223.0</v>
      </c>
      <c r="K22" s="145">
        <v>250.0</v>
      </c>
      <c r="L22" s="145" t="s">
        <v>29</v>
      </c>
      <c r="M22" s="145">
        <v>45.0</v>
      </c>
      <c r="N22" s="145">
        <v>230.0</v>
      </c>
      <c r="O22" s="146">
        <v>18.0</v>
      </c>
      <c r="P22" s="145">
        <v>202.0</v>
      </c>
      <c r="Q22" s="145">
        <v>9.0</v>
      </c>
      <c r="R22" s="145">
        <v>0.0</v>
      </c>
      <c r="S22" s="145">
        <v>0.0</v>
      </c>
      <c r="T22" s="147" t="s">
        <v>37</v>
      </c>
      <c r="U22" s="164" t="s">
        <v>580</v>
      </c>
      <c r="V22" s="149" t="s">
        <v>551</v>
      </c>
      <c r="W22" s="164" t="s">
        <v>583</v>
      </c>
      <c r="X22" s="147" t="s">
        <v>581</v>
      </c>
      <c r="Y22" s="147" t="s">
        <v>561</v>
      </c>
      <c r="Z22" s="147" t="s">
        <v>27</v>
      </c>
      <c r="AA22" s="147" t="s">
        <v>557</v>
      </c>
      <c r="AB22" s="147" t="s">
        <v>11</v>
      </c>
      <c r="AC22" s="147" t="s">
        <v>584</v>
      </c>
    </row>
    <row r="23" ht="15.75" customHeight="1">
      <c r="A23" s="141">
        <v>26.0</v>
      </c>
      <c r="B23" s="142" t="s">
        <v>27</v>
      </c>
      <c r="C23" s="143" t="str">
        <f>HYPERLINK("https://azurlane.koumakan.jp/Sims","Sims")</f>
        <v>Sims</v>
      </c>
      <c r="D23" s="142" t="s">
        <v>36</v>
      </c>
      <c r="E23" s="165">
        <v>1859.0</v>
      </c>
      <c r="F23" s="145">
        <v>82.0</v>
      </c>
      <c r="G23" s="145">
        <v>290.0</v>
      </c>
      <c r="H23" s="145">
        <v>0.0</v>
      </c>
      <c r="I23" s="145">
        <v>175.0</v>
      </c>
      <c r="J23" s="145">
        <v>207.0</v>
      </c>
      <c r="K23" s="145">
        <v>206.0</v>
      </c>
      <c r="L23" s="145" t="s">
        <v>29</v>
      </c>
      <c r="M23" s="145">
        <v>42.0</v>
      </c>
      <c r="N23" s="145">
        <v>200.0</v>
      </c>
      <c r="O23" s="166">
        <v>45.0</v>
      </c>
      <c r="P23" s="145">
        <v>211.0</v>
      </c>
      <c r="Q23" s="145">
        <v>8.0</v>
      </c>
      <c r="R23" s="145">
        <v>0.0</v>
      </c>
      <c r="S23" s="145">
        <v>0.0</v>
      </c>
      <c r="T23" s="147" t="s">
        <v>37</v>
      </c>
      <c r="U23" s="148" t="s">
        <v>585</v>
      </c>
      <c r="V23" s="149" t="s">
        <v>551</v>
      </c>
      <c r="W23" s="149" t="s">
        <v>551</v>
      </c>
      <c r="X23" s="147" t="s">
        <v>586</v>
      </c>
      <c r="Y23" s="147" t="s">
        <v>561</v>
      </c>
      <c r="Z23" s="147" t="s">
        <v>27</v>
      </c>
      <c r="AA23" s="147" t="s">
        <v>557</v>
      </c>
      <c r="AB23" s="147" t="s">
        <v>11</v>
      </c>
      <c r="AC23" s="147" t="s">
        <v>558</v>
      </c>
    </row>
    <row r="24" ht="15.75" customHeight="1">
      <c r="A24" s="141">
        <v>26.1</v>
      </c>
      <c r="B24" s="142" t="s">
        <v>27</v>
      </c>
      <c r="C24" s="143" t="str">
        <f>HYPERLINK("https://azurlane.koumakan.jp/Sims#Retrofit","Sims (R)")</f>
        <v>Sims (R)</v>
      </c>
      <c r="D24" s="142" t="s">
        <v>28</v>
      </c>
      <c r="E24" s="144">
        <v>2069.0</v>
      </c>
      <c r="F24" s="145">
        <v>112.0</v>
      </c>
      <c r="G24" s="145">
        <v>290.0</v>
      </c>
      <c r="H24" s="145">
        <v>0.0</v>
      </c>
      <c r="I24" s="168">
        <v>265.0</v>
      </c>
      <c r="J24" s="145">
        <v>222.0</v>
      </c>
      <c r="K24" s="145">
        <v>206.0</v>
      </c>
      <c r="L24" s="145" t="s">
        <v>29</v>
      </c>
      <c r="M24" s="145">
        <v>45.0</v>
      </c>
      <c r="N24" s="145">
        <v>200.0</v>
      </c>
      <c r="O24" s="146">
        <v>45.0</v>
      </c>
      <c r="P24" s="145">
        <v>211.0</v>
      </c>
      <c r="Q24" s="145">
        <v>8.0</v>
      </c>
      <c r="R24" s="145">
        <v>0.0</v>
      </c>
      <c r="S24" s="145">
        <v>0.0</v>
      </c>
      <c r="T24" s="147" t="s">
        <v>37</v>
      </c>
      <c r="U24" s="148" t="s">
        <v>585</v>
      </c>
      <c r="V24" s="149" t="s">
        <v>551</v>
      </c>
      <c r="W24" s="161" t="s">
        <v>587</v>
      </c>
      <c r="X24" s="147" t="s">
        <v>586</v>
      </c>
      <c r="Y24" s="147" t="s">
        <v>561</v>
      </c>
      <c r="Z24" s="147" t="s">
        <v>27</v>
      </c>
      <c r="AA24" s="147" t="s">
        <v>557</v>
      </c>
      <c r="AB24" s="147" t="s">
        <v>11</v>
      </c>
      <c r="AC24" s="147" t="s">
        <v>588</v>
      </c>
    </row>
    <row r="25" ht="15.75" customHeight="1">
      <c r="A25" s="141">
        <v>27.0</v>
      </c>
      <c r="B25" s="142" t="s">
        <v>27</v>
      </c>
      <c r="C25" s="143" t="str">
        <f>HYPERLINK("https://azurlane.koumakan.jp/Hammann","Hammann")</f>
        <v>Hammann</v>
      </c>
      <c r="D25" s="142" t="s">
        <v>36</v>
      </c>
      <c r="E25" s="145">
        <v>1859.0</v>
      </c>
      <c r="F25" s="145">
        <v>82.0</v>
      </c>
      <c r="G25" s="145">
        <v>290.0</v>
      </c>
      <c r="H25" s="145">
        <v>0.0</v>
      </c>
      <c r="I25" s="145">
        <v>175.0</v>
      </c>
      <c r="J25" s="145">
        <v>207.0</v>
      </c>
      <c r="K25" s="145">
        <v>206.0</v>
      </c>
      <c r="L25" s="145" t="s">
        <v>29</v>
      </c>
      <c r="M25" s="145">
        <v>42.0</v>
      </c>
      <c r="N25" s="145">
        <v>200.0</v>
      </c>
      <c r="O25" s="145">
        <v>47.0</v>
      </c>
      <c r="P25" s="145">
        <v>211.0</v>
      </c>
      <c r="Q25" s="145">
        <v>8.0</v>
      </c>
      <c r="R25" s="145">
        <v>0.0</v>
      </c>
      <c r="S25" s="145">
        <v>0.0</v>
      </c>
      <c r="T25" s="147" t="s">
        <v>37</v>
      </c>
      <c r="U25" s="148" t="s">
        <v>589</v>
      </c>
      <c r="V25" s="149" t="s">
        <v>551</v>
      </c>
      <c r="W25" s="149" t="s">
        <v>551</v>
      </c>
      <c r="X25" s="147" t="s">
        <v>586</v>
      </c>
      <c r="Y25" s="147" t="s">
        <v>556</v>
      </c>
      <c r="Z25" s="147" t="s">
        <v>27</v>
      </c>
      <c r="AA25" s="147" t="s">
        <v>557</v>
      </c>
      <c r="AB25" s="147" t="s">
        <v>11</v>
      </c>
      <c r="AC25" s="147" t="s">
        <v>558</v>
      </c>
    </row>
    <row r="26" ht="15.75" customHeight="1">
      <c r="A26" s="141">
        <v>27.1</v>
      </c>
      <c r="B26" s="142" t="s">
        <v>27</v>
      </c>
      <c r="C26" s="143" t="str">
        <f>HYPERLINK("https://azurlane.koumakan.jp/Hammann#Retrofit","Hammann (R)")</f>
        <v>Hammann (R)</v>
      </c>
      <c r="D26" s="142" t="s">
        <v>28</v>
      </c>
      <c r="E26" s="158">
        <v>2069.0</v>
      </c>
      <c r="F26" s="145">
        <v>97.0</v>
      </c>
      <c r="G26" s="145">
        <v>290.0</v>
      </c>
      <c r="H26" s="145">
        <v>0.0</v>
      </c>
      <c r="I26" s="168">
        <v>265.0</v>
      </c>
      <c r="J26" s="145">
        <v>227.0</v>
      </c>
      <c r="K26" s="145">
        <v>206.0</v>
      </c>
      <c r="L26" s="145" t="s">
        <v>29</v>
      </c>
      <c r="M26" s="145">
        <v>45.0</v>
      </c>
      <c r="N26" s="145">
        <v>200.0</v>
      </c>
      <c r="O26" s="169">
        <v>47.0</v>
      </c>
      <c r="P26" s="145">
        <v>211.0</v>
      </c>
      <c r="Q26" s="145">
        <v>8.0</v>
      </c>
      <c r="R26" s="145">
        <v>0.0</v>
      </c>
      <c r="S26" s="145">
        <v>0.0</v>
      </c>
      <c r="T26" s="147" t="s">
        <v>37</v>
      </c>
      <c r="U26" s="148" t="s">
        <v>589</v>
      </c>
      <c r="V26" s="149" t="s">
        <v>551</v>
      </c>
      <c r="W26" s="161" t="s">
        <v>590</v>
      </c>
      <c r="X26" s="147" t="s">
        <v>586</v>
      </c>
      <c r="Y26" s="147" t="s">
        <v>556</v>
      </c>
      <c r="Z26" s="147" t="s">
        <v>27</v>
      </c>
      <c r="AA26" s="147" t="s">
        <v>557</v>
      </c>
      <c r="AB26" s="147" t="s">
        <v>11</v>
      </c>
      <c r="AC26" s="147" t="s">
        <v>588</v>
      </c>
    </row>
    <row r="27" ht="15.75" customHeight="1">
      <c r="A27" s="141">
        <v>28.0</v>
      </c>
      <c r="B27" s="142" t="s">
        <v>27</v>
      </c>
      <c r="C27" s="143" t="str">
        <f>HYPERLINK("https://azurlane.koumakan.jp/Eldridge","Eldridge")</f>
        <v>Eldridge</v>
      </c>
      <c r="D27" s="142" t="s">
        <v>32</v>
      </c>
      <c r="E27" s="145">
        <v>1762.0</v>
      </c>
      <c r="F27" s="145">
        <v>82.0</v>
      </c>
      <c r="G27" s="145">
        <v>386.0</v>
      </c>
      <c r="H27" s="145">
        <v>0.0</v>
      </c>
      <c r="I27" s="145">
        <v>187.0</v>
      </c>
      <c r="J27" s="168">
        <v>234.0</v>
      </c>
      <c r="K27" s="145">
        <v>271.0</v>
      </c>
      <c r="L27" s="145" t="s">
        <v>29</v>
      </c>
      <c r="M27" s="145">
        <v>25.0</v>
      </c>
      <c r="N27" s="145">
        <v>218.0</v>
      </c>
      <c r="O27" s="145">
        <v>75.0</v>
      </c>
      <c r="P27" s="168">
        <v>229.0</v>
      </c>
      <c r="Q27" s="145">
        <v>10.0</v>
      </c>
      <c r="R27" s="145">
        <v>0.0</v>
      </c>
      <c r="S27" s="145">
        <v>0.0</v>
      </c>
      <c r="T27" s="147" t="s">
        <v>37</v>
      </c>
      <c r="U27" s="161" t="s">
        <v>591</v>
      </c>
      <c r="V27" s="149" t="s">
        <v>551</v>
      </c>
      <c r="W27" s="149" t="s">
        <v>551</v>
      </c>
      <c r="X27" s="147" t="s">
        <v>592</v>
      </c>
      <c r="Y27" s="147" t="s">
        <v>556</v>
      </c>
      <c r="Z27" s="147" t="s">
        <v>27</v>
      </c>
      <c r="AA27" s="147" t="s">
        <v>557</v>
      </c>
      <c r="AB27" s="147" t="s">
        <v>11</v>
      </c>
      <c r="AC27" s="147" t="s">
        <v>593</v>
      </c>
    </row>
    <row r="28" ht="15.75" customHeight="1">
      <c r="A28" s="141">
        <v>81.0</v>
      </c>
      <c r="B28" s="142" t="s">
        <v>27</v>
      </c>
      <c r="C28" s="143" t="str">
        <f>HYPERLINK("https://azurlane.koumakan.jp/Amazon","Amazon")</f>
        <v>Amazon</v>
      </c>
      <c r="D28" s="142" t="s">
        <v>36</v>
      </c>
      <c r="E28" s="145">
        <v>1404.0</v>
      </c>
      <c r="F28" s="145">
        <v>66.0</v>
      </c>
      <c r="G28" s="145">
        <v>365.0</v>
      </c>
      <c r="H28" s="145">
        <v>0.0</v>
      </c>
      <c r="I28" s="145">
        <v>157.0</v>
      </c>
      <c r="J28" s="145">
        <v>194.0</v>
      </c>
      <c r="K28" s="145">
        <v>272.0</v>
      </c>
      <c r="L28" s="145" t="s">
        <v>29</v>
      </c>
      <c r="M28" s="145">
        <v>44.0</v>
      </c>
      <c r="N28" s="145">
        <v>210.0</v>
      </c>
      <c r="O28" s="145">
        <v>72.0</v>
      </c>
      <c r="P28" s="145">
        <v>179.0</v>
      </c>
      <c r="Q28" s="145">
        <v>8.0</v>
      </c>
      <c r="R28" s="145">
        <v>0.0</v>
      </c>
      <c r="S28" s="145">
        <v>0.0</v>
      </c>
      <c r="T28" s="147" t="s">
        <v>104</v>
      </c>
      <c r="U28" s="148" t="s">
        <v>594</v>
      </c>
      <c r="V28" s="149" t="s">
        <v>551</v>
      </c>
      <c r="W28" s="149" t="s">
        <v>551</v>
      </c>
      <c r="X28" s="147" t="s">
        <v>595</v>
      </c>
      <c r="Y28" s="147" t="s">
        <v>556</v>
      </c>
      <c r="Z28" s="147" t="s">
        <v>27</v>
      </c>
      <c r="AA28" s="147" t="s">
        <v>557</v>
      </c>
      <c r="AB28" s="147" t="s">
        <v>11</v>
      </c>
      <c r="AC28" s="147" t="s">
        <v>596</v>
      </c>
    </row>
    <row r="29" ht="15.75" customHeight="1">
      <c r="A29" s="141">
        <v>81.1</v>
      </c>
      <c r="B29" s="142" t="s">
        <v>27</v>
      </c>
      <c r="C29" s="143" t="str">
        <f>HYPERLINK("https://azurlane.koumakan.jp/Amazon#Retrofit","Amazon (R)")</f>
        <v>Amazon (R)</v>
      </c>
      <c r="D29" s="142" t="s">
        <v>28</v>
      </c>
      <c r="E29" s="145">
        <v>1569.0</v>
      </c>
      <c r="F29" s="145">
        <v>66.0</v>
      </c>
      <c r="G29" s="145">
        <v>365.0</v>
      </c>
      <c r="H29" s="145">
        <v>0.0</v>
      </c>
      <c r="I29" s="145">
        <v>197.0</v>
      </c>
      <c r="J29" s="145">
        <v>194.0</v>
      </c>
      <c r="K29" s="145">
        <v>292.0</v>
      </c>
      <c r="L29" s="145" t="s">
        <v>29</v>
      </c>
      <c r="M29" s="145">
        <v>47.0</v>
      </c>
      <c r="N29" s="145">
        <v>210.0</v>
      </c>
      <c r="O29" s="145">
        <v>72.0</v>
      </c>
      <c r="P29" s="145">
        <v>219.0</v>
      </c>
      <c r="Q29" s="145">
        <v>8.0</v>
      </c>
      <c r="R29" s="145">
        <v>0.0</v>
      </c>
      <c r="S29" s="145">
        <v>0.0</v>
      </c>
      <c r="T29" s="147" t="s">
        <v>104</v>
      </c>
      <c r="U29" s="148" t="s">
        <v>594</v>
      </c>
      <c r="V29" s="149" t="s">
        <v>551</v>
      </c>
      <c r="W29" s="161" t="s">
        <v>597</v>
      </c>
      <c r="X29" s="147" t="s">
        <v>595</v>
      </c>
      <c r="Y29" s="147" t="s">
        <v>556</v>
      </c>
      <c r="Z29" s="147" t="s">
        <v>27</v>
      </c>
      <c r="AA29" s="147" t="s">
        <v>557</v>
      </c>
      <c r="AB29" s="147" t="s">
        <v>11</v>
      </c>
      <c r="AC29" s="147" t="s">
        <v>598</v>
      </c>
    </row>
    <row r="30" ht="15.75" customHeight="1">
      <c r="A30" s="141">
        <v>82.0</v>
      </c>
      <c r="B30" s="142" t="s">
        <v>27</v>
      </c>
      <c r="C30" s="143" t="str">
        <f>HYPERLINK("https://azurlane.koumakan.jp/Acasta","Acasta")</f>
        <v>Acasta</v>
      </c>
      <c r="D30" s="142" t="s">
        <v>36</v>
      </c>
      <c r="E30" s="165">
        <v>1404.0</v>
      </c>
      <c r="F30" s="145">
        <v>69.0</v>
      </c>
      <c r="G30" s="145">
        <v>365.0</v>
      </c>
      <c r="H30" s="145">
        <v>0.0</v>
      </c>
      <c r="I30" s="145">
        <v>157.0</v>
      </c>
      <c r="J30" s="145">
        <v>196.0</v>
      </c>
      <c r="K30" s="145">
        <v>269.0</v>
      </c>
      <c r="L30" s="145" t="s">
        <v>29</v>
      </c>
      <c r="M30" s="145">
        <v>42.0</v>
      </c>
      <c r="N30" s="145">
        <v>194.0</v>
      </c>
      <c r="O30" s="166">
        <v>43.0</v>
      </c>
      <c r="P30" s="145">
        <v>176.0</v>
      </c>
      <c r="Q30" s="145">
        <v>8.0</v>
      </c>
      <c r="R30" s="145">
        <v>0.0</v>
      </c>
      <c r="S30" s="145">
        <v>0.0</v>
      </c>
      <c r="T30" s="147" t="s">
        <v>104</v>
      </c>
      <c r="U30" s="164" t="s">
        <v>599</v>
      </c>
      <c r="V30" s="161" t="s">
        <v>587</v>
      </c>
      <c r="W30" s="149" t="s">
        <v>551</v>
      </c>
      <c r="X30" s="147" t="s">
        <v>595</v>
      </c>
      <c r="Y30" s="147" t="s">
        <v>556</v>
      </c>
      <c r="Z30" s="147" t="s">
        <v>27</v>
      </c>
      <c r="AA30" s="147" t="s">
        <v>557</v>
      </c>
      <c r="AB30" s="147" t="s">
        <v>11</v>
      </c>
      <c r="AC30" s="147" t="s">
        <v>600</v>
      </c>
    </row>
    <row r="31" ht="15.75" customHeight="1">
      <c r="A31" s="141">
        <v>82.1</v>
      </c>
      <c r="B31" s="142" t="s">
        <v>27</v>
      </c>
      <c r="C31" s="143" t="str">
        <f>HYPERLINK("https://azurlane.koumakan.jp/Acasta#Retrofit","Acasta (R)")</f>
        <v>Acasta (R)</v>
      </c>
      <c r="D31" s="142" t="s">
        <v>28</v>
      </c>
      <c r="E31" s="144">
        <v>1569.0</v>
      </c>
      <c r="F31" s="145">
        <v>69.0</v>
      </c>
      <c r="G31" s="145">
        <v>405.0</v>
      </c>
      <c r="H31" s="145">
        <v>0.0</v>
      </c>
      <c r="I31" s="145">
        <v>172.0</v>
      </c>
      <c r="J31" s="145">
        <v>196.0</v>
      </c>
      <c r="K31" s="145">
        <v>304.0</v>
      </c>
      <c r="L31" s="145" t="s">
        <v>29</v>
      </c>
      <c r="M31" s="145">
        <v>45.0</v>
      </c>
      <c r="N31" s="145">
        <v>194.0</v>
      </c>
      <c r="O31" s="166">
        <v>43.0</v>
      </c>
      <c r="P31" s="145">
        <v>176.0</v>
      </c>
      <c r="Q31" s="145">
        <v>8.0</v>
      </c>
      <c r="R31" s="145">
        <v>0.0</v>
      </c>
      <c r="S31" s="145">
        <v>0.0</v>
      </c>
      <c r="T31" s="147" t="s">
        <v>104</v>
      </c>
      <c r="U31" s="164" t="s">
        <v>599</v>
      </c>
      <c r="V31" s="161" t="s">
        <v>587</v>
      </c>
      <c r="W31" s="148" t="s">
        <v>589</v>
      </c>
      <c r="X31" s="147" t="s">
        <v>595</v>
      </c>
      <c r="Y31" s="147" t="s">
        <v>556</v>
      </c>
      <c r="Z31" s="147" t="s">
        <v>27</v>
      </c>
      <c r="AA31" s="147" t="s">
        <v>557</v>
      </c>
      <c r="AB31" s="147" t="s">
        <v>11</v>
      </c>
      <c r="AC31" s="147" t="s">
        <v>601</v>
      </c>
    </row>
    <row r="32" ht="15.75" customHeight="1">
      <c r="A32" s="141">
        <v>83.0</v>
      </c>
      <c r="B32" s="142" t="s">
        <v>27</v>
      </c>
      <c r="C32" s="143" t="str">
        <f>HYPERLINK("https://azurlane.koumakan.jp/Ardent","Ardent")</f>
        <v>Ardent</v>
      </c>
      <c r="D32" s="142" t="s">
        <v>36</v>
      </c>
      <c r="E32" s="145">
        <v>1404.0</v>
      </c>
      <c r="F32" s="145">
        <v>69.0</v>
      </c>
      <c r="G32" s="145">
        <v>365.0</v>
      </c>
      <c r="H32" s="145">
        <v>0.0</v>
      </c>
      <c r="I32" s="145">
        <v>157.0</v>
      </c>
      <c r="J32" s="145">
        <v>196.0</v>
      </c>
      <c r="K32" s="145">
        <v>269.0</v>
      </c>
      <c r="L32" s="145" t="s">
        <v>29</v>
      </c>
      <c r="M32" s="145">
        <v>42.0</v>
      </c>
      <c r="N32" s="145">
        <v>194.0</v>
      </c>
      <c r="O32" s="145">
        <v>35.0</v>
      </c>
      <c r="P32" s="145">
        <v>176.0</v>
      </c>
      <c r="Q32" s="145">
        <v>8.0</v>
      </c>
      <c r="R32" s="145">
        <v>0.0</v>
      </c>
      <c r="S32" s="145">
        <v>0.0</v>
      </c>
      <c r="T32" s="147" t="s">
        <v>104</v>
      </c>
      <c r="U32" s="161" t="s">
        <v>602</v>
      </c>
      <c r="V32" s="148" t="s">
        <v>603</v>
      </c>
      <c r="W32" s="149" t="s">
        <v>551</v>
      </c>
      <c r="X32" s="147" t="s">
        <v>595</v>
      </c>
      <c r="Y32" s="147" t="s">
        <v>556</v>
      </c>
      <c r="Z32" s="147" t="s">
        <v>27</v>
      </c>
      <c r="AA32" s="147" t="s">
        <v>557</v>
      </c>
      <c r="AB32" s="147" t="s">
        <v>11</v>
      </c>
      <c r="AC32" s="147" t="s">
        <v>604</v>
      </c>
    </row>
    <row r="33" ht="15.75" customHeight="1">
      <c r="A33" s="141">
        <v>83.1</v>
      </c>
      <c r="B33" s="142" t="s">
        <v>27</v>
      </c>
      <c r="C33" s="143" t="str">
        <f>HYPERLINK("https://azurlane.koumakan.jp/Ardent#Retrofit","Ardent (R)")</f>
        <v>Ardent (R)</v>
      </c>
      <c r="D33" s="142" t="s">
        <v>28</v>
      </c>
      <c r="E33" s="144">
        <v>1569.0</v>
      </c>
      <c r="F33" s="145">
        <v>69.0</v>
      </c>
      <c r="G33" s="145">
        <v>405.0</v>
      </c>
      <c r="H33" s="145">
        <v>0.0</v>
      </c>
      <c r="I33" s="145">
        <v>172.0</v>
      </c>
      <c r="J33" s="145">
        <v>196.0</v>
      </c>
      <c r="K33" s="145">
        <v>304.0</v>
      </c>
      <c r="L33" s="145" t="s">
        <v>29</v>
      </c>
      <c r="M33" s="145">
        <v>45.0</v>
      </c>
      <c r="N33" s="145">
        <v>194.0</v>
      </c>
      <c r="O33" s="166">
        <v>35.0</v>
      </c>
      <c r="P33" s="145">
        <v>176.0</v>
      </c>
      <c r="Q33" s="145">
        <v>8.0</v>
      </c>
      <c r="R33" s="145">
        <v>0.0</v>
      </c>
      <c r="S33" s="145">
        <v>0.0</v>
      </c>
      <c r="T33" s="147" t="s">
        <v>104</v>
      </c>
      <c r="U33" s="161" t="s">
        <v>602</v>
      </c>
      <c r="V33" s="148" t="s">
        <v>603</v>
      </c>
      <c r="W33" s="148" t="s">
        <v>577</v>
      </c>
      <c r="X33" s="147" t="s">
        <v>595</v>
      </c>
      <c r="Y33" s="147" t="s">
        <v>556</v>
      </c>
      <c r="Z33" s="147" t="s">
        <v>27</v>
      </c>
      <c r="AA33" s="147" t="s">
        <v>557</v>
      </c>
      <c r="AB33" s="147" t="s">
        <v>11</v>
      </c>
      <c r="AC33" s="147" t="s">
        <v>605</v>
      </c>
    </row>
    <row r="34" ht="15.75" customHeight="1">
      <c r="A34" s="141">
        <v>86.0</v>
      </c>
      <c r="B34" s="142" t="s">
        <v>27</v>
      </c>
      <c r="C34" s="143" t="str">
        <f>HYPERLINK("https://azurlane.koumakan.jp/Beagle","Beagle")</f>
        <v>Beagle</v>
      </c>
      <c r="D34" s="142" t="s">
        <v>40</v>
      </c>
      <c r="E34" s="165">
        <v>1382.0</v>
      </c>
      <c r="F34" s="145">
        <v>66.0</v>
      </c>
      <c r="G34" s="145">
        <v>359.0</v>
      </c>
      <c r="H34" s="145">
        <v>0.0</v>
      </c>
      <c r="I34" s="145">
        <v>153.0</v>
      </c>
      <c r="J34" s="145">
        <v>193.0</v>
      </c>
      <c r="K34" s="145">
        <v>269.0</v>
      </c>
      <c r="L34" s="145" t="s">
        <v>29</v>
      </c>
      <c r="M34" s="145">
        <v>42.0</v>
      </c>
      <c r="N34" s="145">
        <v>197.0</v>
      </c>
      <c r="O34" s="166">
        <v>71.0</v>
      </c>
      <c r="P34" s="145">
        <v>195.0</v>
      </c>
      <c r="Q34" s="145">
        <v>7.0</v>
      </c>
      <c r="R34" s="145">
        <v>0.0</v>
      </c>
      <c r="S34" s="145">
        <v>0.0</v>
      </c>
      <c r="T34" s="147" t="s">
        <v>104</v>
      </c>
      <c r="U34" s="161" t="s">
        <v>606</v>
      </c>
      <c r="V34" s="149" t="s">
        <v>551</v>
      </c>
      <c r="W34" s="149" t="s">
        <v>551</v>
      </c>
      <c r="X34" s="147" t="s">
        <v>607</v>
      </c>
      <c r="Y34" s="147" t="s">
        <v>556</v>
      </c>
      <c r="Z34" s="147" t="s">
        <v>27</v>
      </c>
      <c r="AA34" s="147" t="s">
        <v>557</v>
      </c>
      <c r="AB34" s="147" t="s">
        <v>11</v>
      </c>
      <c r="AC34" s="147" t="s">
        <v>596</v>
      </c>
    </row>
    <row r="35" ht="15.75" customHeight="1">
      <c r="A35" s="141">
        <v>87.0</v>
      </c>
      <c r="B35" s="142" t="s">
        <v>27</v>
      </c>
      <c r="C35" s="143" t="str">
        <f>HYPERLINK("https://azurlane.koumakan.jp/Bulldog","Bulldog")</f>
        <v>Bulldog</v>
      </c>
      <c r="D35" s="142" t="s">
        <v>40</v>
      </c>
      <c r="E35" s="165">
        <v>1382.0</v>
      </c>
      <c r="F35" s="145">
        <v>66.0</v>
      </c>
      <c r="G35" s="145">
        <v>359.0</v>
      </c>
      <c r="H35" s="145">
        <v>0.0</v>
      </c>
      <c r="I35" s="145">
        <v>153.0</v>
      </c>
      <c r="J35" s="145">
        <v>193.0</v>
      </c>
      <c r="K35" s="145">
        <v>269.0</v>
      </c>
      <c r="L35" s="145" t="s">
        <v>29</v>
      </c>
      <c r="M35" s="145">
        <v>42.0</v>
      </c>
      <c r="N35" s="145">
        <v>197.0</v>
      </c>
      <c r="O35" s="166">
        <v>65.0</v>
      </c>
      <c r="P35" s="145">
        <v>200.0</v>
      </c>
      <c r="Q35" s="145">
        <v>7.0</v>
      </c>
      <c r="R35" s="145">
        <v>0.0</v>
      </c>
      <c r="S35" s="145">
        <v>0.0</v>
      </c>
      <c r="T35" s="147" t="s">
        <v>104</v>
      </c>
      <c r="U35" s="161" t="s">
        <v>606</v>
      </c>
      <c r="V35" s="149" t="s">
        <v>551</v>
      </c>
      <c r="W35" s="149" t="s">
        <v>551</v>
      </c>
      <c r="X35" s="147" t="s">
        <v>607</v>
      </c>
      <c r="Y35" s="147" t="s">
        <v>556</v>
      </c>
      <c r="Z35" s="147" t="s">
        <v>27</v>
      </c>
      <c r="AA35" s="147" t="s">
        <v>557</v>
      </c>
      <c r="AB35" s="147" t="s">
        <v>11</v>
      </c>
      <c r="AC35" s="147" t="s">
        <v>596</v>
      </c>
    </row>
    <row r="36" ht="15.75" customHeight="1">
      <c r="A36" s="141">
        <v>88.0</v>
      </c>
      <c r="B36" s="142" t="s">
        <v>27</v>
      </c>
      <c r="C36" s="143" t="str">
        <f>HYPERLINK("https://azurlane.koumakan.jp/Comet","Comet")</f>
        <v>Comet</v>
      </c>
      <c r="D36" s="142" t="s">
        <v>40</v>
      </c>
      <c r="E36" s="145">
        <v>1393.0</v>
      </c>
      <c r="F36" s="145">
        <v>69.0</v>
      </c>
      <c r="G36" s="145">
        <v>354.0</v>
      </c>
      <c r="H36" s="145">
        <v>0.0</v>
      </c>
      <c r="I36" s="145">
        <v>153.0</v>
      </c>
      <c r="J36" s="145">
        <v>193.0</v>
      </c>
      <c r="K36" s="145">
        <v>270.0</v>
      </c>
      <c r="L36" s="145" t="s">
        <v>29</v>
      </c>
      <c r="M36" s="145">
        <v>43.0</v>
      </c>
      <c r="N36" s="145">
        <v>200.0</v>
      </c>
      <c r="O36" s="145">
        <v>54.0</v>
      </c>
      <c r="P36" s="145">
        <v>209.0</v>
      </c>
      <c r="Q36" s="145">
        <v>7.0</v>
      </c>
      <c r="R36" s="145">
        <v>0.0</v>
      </c>
      <c r="S36" s="145">
        <v>0.0</v>
      </c>
      <c r="T36" s="147" t="s">
        <v>104</v>
      </c>
      <c r="U36" s="148" t="s">
        <v>564</v>
      </c>
      <c r="V36" s="149" t="s">
        <v>551</v>
      </c>
      <c r="W36" s="149" t="s">
        <v>551</v>
      </c>
      <c r="X36" s="147" t="s">
        <v>608</v>
      </c>
      <c r="Y36" s="147" t="s">
        <v>556</v>
      </c>
      <c r="Z36" s="147" t="s">
        <v>27</v>
      </c>
      <c r="AA36" s="147" t="s">
        <v>557</v>
      </c>
      <c r="AB36" s="147" t="s">
        <v>11</v>
      </c>
      <c r="AC36" s="147" t="s">
        <v>596</v>
      </c>
    </row>
    <row r="37" ht="15.75" customHeight="1">
      <c r="A37" s="141">
        <v>88.1</v>
      </c>
      <c r="B37" s="142" t="s">
        <v>27</v>
      </c>
      <c r="C37" s="143" t="str">
        <f>HYPERLINK("https://azurlane.koumakan.jp/Comet#Retrofit","Comet (R)")</f>
        <v>Comet (R)</v>
      </c>
      <c r="D37" s="142" t="s">
        <v>36</v>
      </c>
      <c r="E37" s="144">
        <v>1558.0</v>
      </c>
      <c r="F37" s="145">
        <v>69.0</v>
      </c>
      <c r="G37" s="145">
        <v>389.0</v>
      </c>
      <c r="H37" s="145">
        <v>0.0</v>
      </c>
      <c r="I37" s="145">
        <v>168.0</v>
      </c>
      <c r="J37" s="145">
        <v>198.0</v>
      </c>
      <c r="K37" s="145">
        <v>305.0</v>
      </c>
      <c r="L37" s="145" t="s">
        <v>29</v>
      </c>
      <c r="M37" s="145">
        <v>46.0</v>
      </c>
      <c r="N37" s="145">
        <v>200.0</v>
      </c>
      <c r="O37" s="146">
        <v>54.0</v>
      </c>
      <c r="P37" s="145">
        <v>209.0</v>
      </c>
      <c r="Q37" s="145">
        <v>7.0</v>
      </c>
      <c r="R37" s="145">
        <v>0.0</v>
      </c>
      <c r="S37" s="145">
        <v>0.0</v>
      </c>
      <c r="T37" s="147" t="s">
        <v>104</v>
      </c>
      <c r="U37" s="148" t="s">
        <v>564</v>
      </c>
      <c r="V37" s="149" t="s">
        <v>551</v>
      </c>
      <c r="W37" s="161" t="s">
        <v>587</v>
      </c>
      <c r="X37" s="147" t="s">
        <v>608</v>
      </c>
      <c r="Y37" s="147" t="s">
        <v>556</v>
      </c>
      <c r="Z37" s="147" t="s">
        <v>27</v>
      </c>
      <c r="AA37" s="147" t="s">
        <v>557</v>
      </c>
      <c r="AB37" s="147" t="s">
        <v>11</v>
      </c>
      <c r="AC37" s="147" t="s">
        <v>609</v>
      </c>
    </row>
    <row r="38" ht="15.75" customHeight="1">
      <c r="A38" s="141">
        <v>89.0</v>
      </c>
      <c r="B38" s="142" t="s">
        <v>27</v>
      </c>
      <c r="C38" s="143" t="str">
        <f>HYPERLINK("https://azurlane.koumakan.jp/Crescent","Crescent")</f>
        <v>Crescent</v>
      </c>
      <c r="D38" s="142" t="s">
        <v>40</v>
      </c>
      <c r="E38" s="165">
        <v>1393.0</v>
      </c>
      <c r="F38" s="145">
        <v>69.0</v>
      </c>
      <c r="G38" s="145">
        <v>354.0</v>
      </c>
      <c r="H38" s="145">
        <v>0.0</v>
      </c>
      <c r="I38" s="145">
        <v>153.0</v>
      </c>
      <c r="J38" s="145">
        <v>193.0</v>
      </c>
      <c r="K38" s="145">
        <v>270.0</v>
      </c>
      <c r="L38" s="145" t="s">
        <v>29</v>
      </c>
      <c r="M38" s="145">
        <v>43.0</v>
      </c>
      <c r="N38" s="145">
        <v>200.0</v>
      </c>
      <c r="O38" s="166">
        <v>35.0</v>
      </c>
      <c r="P38" s="145">
        <v>209.0</v>
      </c>
      <c r="Q38" s="145">
        <v>7.0</v>
      </c>
      <c r="R38" s="145">
        <v>0.0</v>
      </c>
      <c r="S38" s="145">
        <v>0.0</v>
      </c>
      <c r="T38" s="147" t="s">
        <v>104</v>
      </c>
      <c r="U38" s="161" t="s">
        <v>606</v>
      </c>
      <c r="V38" s="149" t="s">
        <v>551</v>
      </c>
      <c r="W38" s="149" t="s">
        <v>551</v>
      </c>
      <c r="X38" s="147" t="s">
        <v>608</v>
      </c>
      <c r="Y38" s="147" t="s">
        <v>561</v>
      </c>
      <c r="Z38" s="147" t="s">
        <v>27</v>
      </c>
      <c r="AA38" s="147" t="s">
        <v>557</v>
      </c>
      <c r="AB38" s="147" t="s">
        <v>11</v>
      </c>
      <c r="AC38" s="147" t="s">
        <v>596</v>
      </c>
    </row>
    <row r="39" ht="15.75" customHeight="1">
      <c r="A39" s="141">
        <v>89.1</v>
      </c>
      <c r="B39" s="142" t="s">
        <v>27</v>
      </c>
      <c r="C39" s="143" t="str">
        <f>HYPERLINK("https://azurlane.koumakan.jp/Crescent#Retrofit","Crescent (R)")</f>
        <v>Crescent (R)</v>
      </c>
      <c r="D39" s="142" t="s">
        <v>36</v>
      </c>
      <c r="E39" s="144">
        <v>1524.0</v>
      </c>
      <c r="F39" s="145">
        <v>109.0</v>
      </c>
      <c r="G39" s="145">
        <v>354.0</v>
      </c>
      <c r="H39" s="145">
        <v>0.0</v>
      </c>
      <c r="I39" s="145">
        <v>168.0</v>
      </c>
      <c r="J39" s="145">
        <v>193.0</v>
      </c>
      <c r="K39" s="145">
        <v>300.0</v>
      </c>
      <c r="L39" s="145" t="s">
        <v>29</v>
      </c>
      <c r="M39" s="145">
        <v>46.0</v>
      </c>
      <c r="N39" s="145">
        <v>205.0</v>
      </c>
      <c r="O39" s="146">
        <v>35.0</v>
      </c>
      <c r="P39" s="145">
        <v>209.0</v>
      </c>
      <c r="Q39" s="145">
        <v>7.0</v>
      </c>
      <c r="R39" s="145">
        <v>0.0</v>
      </c>
      <c r="S39" s="145">
        <v>0.0</v>
      </c>
      <c r="T39" s="147" t="s">
        <v>104</v>
      </c>
      <c r="U39" s="161" t="s">
        <v>606</v>
      </c>
      <c r="V39" s="149" t="s">
        <v>551</v>
      </c>
      <c r="W39" s="161" t="s">
        <v>587</v>
      </c>
      <c r="X39" s="147" t="s">
        <v>608</v>
      </c>
      <c r="Y39" s="147" t="s">
        <v>561</v>
      </c>
      <c r="Z39" s="147" t="s">
        <v>27</v>
      </c>
      <c r="AA39" s="147" t="s">
        <v>557</v>
      </c>
      <c r="AB39" s="147" t="s">
        <v>11</v>
      </c>
      <c r="AC39" s="147" t="s">
        <v>610</v>
      </c>
    </row>
    <row r="40" ht="15.75" customHeight="1">
      <c r="A40" s="141">
        <v>90.0</v>
      </c>
      <c r="B40" s="142" t="s">
        <v>27</v>
      </c>
      <c r="C40" s="143" t="str">
        <f>HYPERLINK("https://azurlane.koumakan.jp/Cygnet","Cygnet")</f>
        <v>Cygnet</v>
      </c>
      <c r="D40" s="142" t="s">
        <v>40</v>
      </c>
      <c r="E40" s="145">
        <v>1393.0</v>
      </c>
      <c r="F40" s="145">
        <v>69.0</v>
      </c>
      <c r="G40" s="145">
        <v>354.0</v>
      </c>
      <c r="H40" s="145">
        <v>0.0</v>
      </c>
      <c r="I40" s="145">
        <v>153.0</v>
      </c>
      <c r="J40" s="145">
        <v>193.0</v>
      </c>
      <c r="K40" s="145">
        <v>270.0</v>
      </c>
      <c r="L40" s="145" t="s">
        <v>29</v>
      </c>
      <c r="M40" s="145">
        <v>43.0</v>
      </c>
      <c r="N40" s="145">
        <v>200.0</v>
      </c>
      <c r="O40" s="145">
        <v>72.0</v>
      </c>
      <c r="P40" s="145">
        <v>213.0</v>
      </c>
      <c r="Q40" s="145">
        <v>7.0</v>
      </c>
      <c r="R40" s="145">
        <v>0.0</v>
      </c>
      <c r="S40" s="145">
        <v>0.0</v>
      </c>
      <c r="T40" s="147" t="s">
        <v>104</v>
      </c>
      <c r="U40" s="161" t="s">
        <v>606</v>
      </c>
      <c r="V40" s="149" t="s">
        <v>551</v>
      </c>
      <c r="W40" s="149" t="s">
        <v>551</v>
      </c>
      <c r="X40" s="147" t="s">
        <v>608</v>
      </c>
      <c r="Y40" s="147" t="s">
        <v>556</v>
      </c>
      <c r="Z40" s="147" t="s">
        <v>27</v>
      </c>
      <c r="AA40" s="147" t="s">
        <v>557</v>
      </c>
      <c r="AB40" s="147" t="s">
        <v>11</v>
      </c>
      <c r="AC40" s="147" t="s">
        <v>596</v>
      </c>
    </row>
    <row r="41" ht="15.75" customHeight="1">
      <c r="A41" s="141">
        <v>90.1</v>
      </c>
      <c r="B41" s="142" t="s">
        <v>27</v>
      </c>
      <c r="C41" s="143" t="str">
        <f>HYPERLINK("https://azurlane.koumakan.jp/Cygnet#Retrofit","Cygnet (R)")</f>
        <v>Cygnet (R)</v>
      </c>
      <c r="D41" s="142" t="s">
        <v>36</v>
      </c>
      <c r="E41" s="158">
        <v>1558.0</v>
      </c>
      <c r="F41" s="145">
        <v>99.0</v>
      </c>
      <c r="G41" s="145">
        <v>354.0</v>
      </c>
      <c r="H41" s="145">
        <v>0.0</v>
      </c>
      <c r="I41" s="145">
        <v>168.0</v>
      </c>
      <c r="J41" s="145">
        <v>193.0</v>
      </c>
      <c r="K41" s="168">
        <v>315.0</v>
      </c>
      <c r="L41" s="145" t="s">
        <v>29</v>
      </c>
      <c r="M41" s="145">
        <v>46.0</v>
      </c>
      <c r="N41" s="145">
        <v>200.0</v>
      </c>
      <c r="O41" s="169">
        <v>72.0</v>
      </c>
      <c r="P41" s="145">
        <v>213.0</v>
      </c>
      <c r="Q41" s="145">
        <v>7.0</v>
      </c>
      <c r="R41" s="145">
        <v>0.0</v>
      </c>
      <c r="S41" s="145">
        <v>0.0</v>
      </c>
      <c r="T41" s="147" t="s">
        <v>104</v>
      </c>
      <c r="U41" s="161" t="s">
        <v>606</v>
      </c>
      <c r="V41" s="149" t="s">
        <v>551</v>
      </c>
      <c r="W41" s="161" t="s">
        <v>587</v>
      </c>
      <c r="X41" s="147" t="s">
        <v>608</v>
      </c>
      <c r="Y41" s="147" t="s">
        <v>556</v>
      </c>
      <c r="Z41" s="147" t="s">
        <v>27</v>
      </c>
      <c r="AA41" s="147" t="s">
        <v>557</v>
      </c>
      <c r="AB41" s="147" t="s">
        <v>11</v>
      </c>
      <c r="AC41" s="147" t="s">
        <v>610</v>
      </c>
    </row>
    <row r="42" ht="15.75" customHeight="1">
      <c r="A42" s="141">
        <v>91.0</v>
      </c>
      <c r="B42" s="142" t="s">
        <v>27</v>
      </c>
      <c r="C42" s="143" t="str">
        <f>HYPERLINK("https://azurlane.koumakan.jp/Foxhound","Foxhound")</f>
        <v>Foxhound</v>
      </c>
      <c r="D42" s="142" t="s">
        <v>40</v>
      </c>
      <c r="E42" s="165">
        <v>1406.0</v>
      </c>
      <c r="F42" s="145">
        <v>72.0</v>
      </c>
      <c r="G42" s="145">
        <v>355.0</v>
      </c>
      <c r="H42" s="145">
        <v>0.0</v>
      </c>
      <c r="I42" s="145">
        <v>153.0</v>
      </c>
      <c r="J42" s="145">
        <v>194.0</v>
      </c>
      <c r="K42" s="145">
        <v>269.0</v>
      </c>
      <c r="L42" s="145" t="s">
        <v>29</v>
      </c>
      <c r="M42" s="145">
        <v>42.0</v>
      </c>
      <c r="N42" s="145">
        <v>203.0</v>
      </c>
      <c r="O42" s="166">
        <v>68.0</v>
      </c>
      <c r="P42" s="145">
        <v>217.0</v>
      </c>
      <c r="Q42" s="145">
        <v>7.0</v>
      </c>
      <c r="R42" s="145">
        <v>0.0</v>
      </c>
      <c r="S42" s="145">
        <v>0.0</v>
      </c>
      <c r="T42" s="147" t="s">
        <v>104</v>
      </c>
      <c r="U42" s="148" t="s">
        <v>611</v>
      </c>
      <c r="V42" s="149" t="s">
        <v>551</v>
      </c>
      <c r="W42" s="149" t="s">
        <v>551</v>
      </c>
      <c r="X42" s="147" t="s">
        <v>612</v>
      </c>
      <c r="Y42" s="147" t="s">
        <v>561</v>
      </c>
      <c r="Z42" s="147" t="s">
        <v>27</v>
      </c>
      <c r="AA42" s="147" t="s">
        <v>557</v>
      </c>
      <c r="AB42" s="147" t="s">
        <v>11</v>
      </c>
      <c r="AC42" s="147" t="s">
        <v>596</v>
      </c>
    </row>
    <row r="43" ht="15.75" customHeight="1">
      <c r="A43" s="141">
        <v>91.1</v>
      </c>
      <c r="B43" s="142" t="s">
        <v>27</v>
      </c>
      <c r="C43" s="143" t="str">
        <f>HYPERLINK("https://azurlane.koumakan.jp/Foxhound#Retrofit","Foxhound (R)")</f>
        <v>Foxhound (R)</v>
      </c>
      <c r="D43" s="142" t="s">
        <v>36</v>
      </c>
      <c r="E43" s="158">
        <v>1571.0</v>
      </c>
      <c r="F43" s="145">
        <v>107.0</v>
      </c>
      <c r="G43" s="145">
        <v>355.0</v>
      </c>
      <c r="H43" s="145">
        <v>0.0</v>
      </c>
      <c r="I43" s="145">
        <v>168.0</v>
      </c>
      <c r="J43" s="145">
        <v>194.0</v>
      </c>
      <c r="K43" s="145">
        <v>309.0</v>
      </c>
      <c r="L43" s="145" t="s">
        <v>29</v>
      </c>
      <c r="M43" s="145">
        <v>45.0</v>
      </c>
      <c r="N43" s="145">
        <v>203.0</v>
      </c>
      <c r="O43" s="169">
        <v>68.0</v>
      </c>
      <c r="P43" s="145">
        <v>217.0</v>
      </c>
      <c r="Q43" s="145">
        <v>7.0</v>
      </c>
      <c r="R43" s="145">
        <v>0.0</v>
      </c>
      <c r="S43" s="145">
        <v>0.0</v>
      </c>
      <c r="T43" s="147" t="s">
        <v>104</v>
      </c>
      <c r="U43" s="148" t="s">
        <v>611</v>
      </c>
      <c r="V43" s="149" t="s">
        <v>551</v>
      </c>
      <c r="W43" s="161" t="s">
        <v>613</v>
      </c>
      <c r="X43" s="147" t="s">
        <v>612</v>
      </c>
      <c r="Y43" s="147" t="s">
        <v>561</v>
      </c>
      <c r="Z43" s="147" t="s">
        <v>27</v>
      </c>
      <c r="AA43" s="147" t="s">
        <v>557</v>
      </c>
      <c r="AB43" s="147" t="s">
        <v>11</v>
      </c>
      <c r="AC43" s="147" t="s">
        <v>610</v>
      </c>
    </row>
    <row r="44" ht="15.75" customHeight="1">
      <c r="A44" s="141">
        <v>92.0</v>
      </c>
      <c r="B44" s="142" t="s">
        <v>27</v>
      </c>
      <c r="C44" s="143" t="str">
        <f>HYPERLINK("https://azurlane.koumakan.jp/Fortune","Fortune")</f>
        <v>Fortune</v>
      </c>
      <c r="D44" s="142" t="s">
        <v>36</v>
      </c>
      <c r="E44" s="145">
        <v>1436.0</v>
      </c>
      <c r="F44" s="145">
        <v>73.0</v>
      </c>
      <c r="G44" s="145">
        <v>362.0</v>
      </c>
      <c r="H44" s="145">
        <v>0.0</v>
      </c>
      <c r="I44" s="145">
        <v>157.0</v>
      </c>
      <c r="J44" s="145">
        <v>197.0</v>
      </c>
      <c r="K44" s="145">
        <v>269.0</v>
      </c>
      <c r="L44" s="145" t="s">
        <v>29</v>
      </c>
      <c r="M44" s="145">
        <v>42.0</v>
      </c>
      <c r="N44" s="145">
        <v>203.0</v>
      </c>
      <c r="O44" s="145">
        <v>68.0</v>
      </c>
      <c r="P44" s="145">
        <v>221.0</v>
      </c>
      <c r="Q44" s="145">
        <v>8.0</v>
      </c>
      <c r="R44" s="145">
        <v>0.0</v>
      </c>
      <c r="S44" s="145">
        <v>0.0</v>
      </c>
      <c r="T44" s="147" t="s">
        <v>104</v>
      </c>
      <c r="U44" s="161" t="s">
        <v>606</v>
      </c>
      <c r="V44" s="149" t="s">
        <v>551</v>
      </c>
      <c r="W44" s="149" t="s">
        <v>551</v>
      </c>
      <c r="X44" s="147" t="s">
        <v>612</v>
      </c>
      <c r="Y44" s="147" t="s">
        <v>561</v>
      </c>
      <c r="Z44" s="147" t="s">
        <v>27</v>
      </c>
      <c r="AA44" s="147" t="s">
        <v>557</v>
      </c>
      <c r="AB44" s="147" t="s">
        <v>11</v>
      </c>
      <c r="AC44" s="147" t="s">
        <v>596</v>
      </c>
    </row>
    <row r="45" ht="15.75" customHeight="1">
      <c r="A45" s="141">
        <v>92.1</v>
      </c>
      <c r="B45" s="142" t="s">
        <v>27</v>
      </c>
      <c r="C45" s="143" t="str">
        <f>HYPERLINK("https://azurlane.koumakan.jp/Fortune#Retrofit","Fortune (R)")</f>
        <v>Fortune (R)</v>
      </c>
      <c r="D45" s="142" t="s">
        <v>28</v>
      </c>
      <c r="E45" s="144">
        <v>1601.0</v>
      </c>
      <c r="F45" s="145">
        <v>108.0</v>
      </c>
      <c r="G45" s="145">
        <v>362.0</v>
      </c>
      <c r="H45" s="145">
        <v>0.0</v>
      </c>
      <c r="I45" s="145">
        <v>172.0</v>
      </c>
      <c r="J45" s="145">
        <v>197.0</v>
      </c>
      <c r="K45" s="145">
        <v>309.0</v>
      </c>
      <c r="L45" s="145" t="s">
        <v>29</v>
      </c>
      <c r="M45" s="145">
        <v>45.0</v>
      </c>
      <c r="N45" s="145">
        <v>203.0</v>
      </c>
      <c r="O45" s="146">
        <v>68.0</v>
      </c>
      <c r="P45" s="145">
        <v>221.0</v>
      </c>
      <c r="Q45" s="145">
        <v>8.0</v>
      </c>
      <c r="R45" s="145">
        <v>0.0</v>
      </c>
      <c r="S45" s="145">
        <v>0.0</v>
      </c>
      <c r="T45" s="147" t="s">
        <v>104</v>
      </c>
      <c r="U45" s="161" t="s">
        <v>606</v>
      </c>
      <c r="V45" s="149" t="s">
        <v>551</v>
      </c>
      <c r="W45" s="161" t="s">
        <v>613</v>
      </c>
      <c r="X45" s="147" t="s">
        <v>612</v>
      </c>
      <c r="Y45" s="147" t="s">
        <v>561</v>
      </c>
      <c r="Z45" s="147" t="s">
        <v>27</v>
      </c>
      <c r="AA45" s="147" t="s">
        <v>557</v>
      </c>
      <c r="AB45" s="147" t="s">
        <v>11</v>
      </c>
      <c r="AC45" s="147" t="s">
        <v>610</v>
      </c>
    </row>
    <row r="46" ht="15.75" customHeight="1">
      <c r="A46" s="141">
        <v>93.0</v>
      </c>
      <c r="B46" s="142" t="s">
        <v>27</v>
      </c>
      <c r="C46" s="143" t="str">
        <f>HYPERLINK("https://azurlane.koumakan.jp/Grenville","Grenville")</f>
        <v>Grenville</v>
      </c>
      <c r="D46" s="142" t="s">
        <v>28</v>
      </c>
      <c r="E46" s="145">
        <v>1555.0</v>
      </c>
      <c r="F46" s="145">
        <v>87.0</v>
      </c>
      <c r="G46" s="145">
        <v>369.0</v>
      </c>
      <c r="H46" s="145">
        <v>0.0</v>
      </c>
      <c r="I46" s="145">
        <v>168.0</v>
      </c>
      <c r="J46" s="145">
        <v>204.0</v>
      </c>
      <c r="K46" s="145">
        <v>270.0</v>
      </c>
      <c r="L46" s="145" t="s">
        <v>29</v>
      </c>
      <c r="M46" s="145">
        <v>43.0</v>
      </c>
      <c r="N46" s="145">
        <v>207.0</v>
      </c>
      <c r="O46" s="145">
        <v>32.0</v>
      </c>
      <c r="P46" s="145">
        <v>218.0</v>
      </c>
      <c r="Q46" s="145">
        <v>9.0</v>
      </c>
      <c r="R46" s="145">
        <v>0.0</v>
      </c>
      <c r="S46" s="145">
        <v>0.0</v>
      </c>
      <c r="T46" s="147" t="s">
        <v>104</v>
      </c>
      <c r="U46" s="148" t="s">
        <v>585</v>
      </c>
      <c r="V46" s="161" t="s">
        <v>614</v>
      </c>
      <c r="W46" s="149" t="s">
        <v>551</v>
      </c>
      <c r="X46" s="147" t="s">
        <v>615</v>
      </c>
      <c r="Y46" s="147" t="s">
        <v>556</v>
      </c>
      <c r="Z46" s="147" t="s">
        <v>27</v>
      </c>
      <c r="AA46" s="147" t="s">
        <v>557</v>
      </c>
      <c r="AB46" s="147" t="s">
        <v>11</v>
      </c>
      <c r="AC46" s="147" t="s">
        <v>616</v>
      </c>
    </row>
    <row r="47" ht="15.75" customHeight="1">
      <c r="A47" s="141">
        <v>94.0</v>
      </c>
      <c r="B47" s="142" t="s">
        <v>27</v>
      </c>
      <c r="C47" s="143" t="str">
        <f>HYPERLINK("https://azurlane.koumakan.jp/Glowworm","Glowworm")</f>
        <v>Glowworm</v>
      </c>
      <c r="D47" s="142" t="s">
        <v>28</v>
      </c>
      <c r="E47" s="165">
        <v>1446.0</v>
      </c>
      <c r="F47" s="145">
        <v>80.0</v>
      </c>
      <c r="G47" s="145">
        <v>375.0</v>
      </c>
      <c r="H47" s="145">
        <v>0.0</v>
      </c>
      <c r="I47" s="145">
        <v>168.0</v>
      </c>
      <c r="J47" s="145">
        <v>204.0</v>
      </c>
      <c r="K47" s="145">
        <v>270.0</v>
      </c>
      <c r="L47" s="145" t="s">
        <v>29</v>
      </c>
      <c r="M47" s="145">
        <v>43.0</v>
      </c>
      <c r="N47" s="145">
        <v>210.0</v>
      </c>
      <c r="O47" s="166">
        <v>36.0</v>
      </c>
      <c r="P47" s="145">
        <v>218.0</v>
      </c>
      <c r="Q47" s="145">
        <v>9.0</v>
      </c>
      <c r="R47" s="145">
        <v>0.0</v>
      </c>
      <c r="S47" s="145">
        <v>0.0</v>
      </c>
      <c r="T47" s="147" t="s">
        <v>104</v>
      </c>
      <c r="U47" s="164" t="s">
        <v>617</v>
      </c>
      <c r="V47" s="161" t="s">
        <v>614</v>
      </c>
      <c r="W47" s="149" t="s">
        <v>551</v>
      </c>
      <c r="X47" s="147" t="s">
        <v>618</v>
      </c>
      <c r="Y47" s="147" t="s">
        <v>556</v>
      </c>
      <c r="Z47" s="147" t="s">
        <v>27</v>
      </c>
      <c r="AA47" s="147" t="s">
        <v>557</v>
      </c>
      <c r="AB47" s="147" t="s">
        <v>11</v>
      </c>
      <c r="AC47" s="147" t="s">
        <v>619</v>
      </c>
    </row>
    <row r="48" ht="15.75" customHeight="1">
      <c r="A48" s="156">
        <v>96.0</v>
      </c>
      <c r="B48" s="149" t="s">
        <v>27</v>
      </c>
      <c r="C48" s="157" t="str">
        <f>HYPERLINK("https://azurlane.koumakan.jp/Hardy","Hardy")</f>
        <v>Hardy</v>
      </c>
      <c r="D48" s="142" t="s">
        <v>28</v>
      </c>
      <c r="E48" s="165">
        <v>1555.0</v>
      </c>
      <c r="F48" s="145">
        <v>82.0</v>
      </c>
      <c r="G48" s="145">
        <v>379.0</v>
      </c>
      <c r="H48" s="145">
        <v>0.0</v>
      </c>
      <c r="I48" s="145">
        <v>160.0</v>
      </c>
      <c r="J48" s="145">
        <v>204.0</v>
      </c>
      <c r="K48" s="145">
        <v>270.0</v>
      </c>
      <c r="L48" s="145" t="s">
        <v>29</v>
      </c>
      <c r="M48" s="145">
        <v>43.0</v>
      </c>
      <c r="N48" s="145">
        <v>222.0</v>
      </c>
      <c r="O48" s="166">
        <v>40.0</v>
      </c>
      <c r="P48" s="145">
        <v>195.0</v>
      </c>
      <c r="Q48" s="145">
        <v>9.0</v>
      </c>
      <c r="R48" s="145">
        <v>0.0</v>
      </c>
      <c r="S48" s="145">
        <v>0.0</v>
      </c>
      <c r="T48" s="147" t="s">
        <v>104</v>
      </c>
      <c r="U48" s="164" t="s">
        <v>620</v>
      </c>
      <c r="V48" s="164" t="s">
        <v>621</v>
      </c>
      <c r="W48" s="149" t="s">
        <v>551</v>
      </c>
      <c r="X48" s="147" t="s">
        <v>622</v>
      </c>
      <c r="Y48" s="147" t="s">
        <v>556</v>
      </c>
      <c r="Z48" s="147" t="s">
        <v>27</v>
      </c>
      <c r="AA48" s="147" t="s">
        <v>557</v>
      </c>
      <c r="AB48" s="147" t="s">
        <v>11</v>
      </c>
      <c r="AC48" s="147" t="s">
        <v>619</v>
      </c>
    </row>
    <row r="49" ht="15.75" customHeight="1">
      <c r="A49" s="156">
        <v>100.0</v>
      </c>
      <c r="B49" s="149" t="s">
        <v>27</v>
      </c>
      <c r="C49" s="157" t="str">
        <f>HYPERLINK("https://azurlane.koumakan.jp/Hunter","Hunter")</f>
        <v>Hunter</v>
      </c>
      <c r="D49" s="142" t="s">
        <v>36</v>
      </c>
      <c r="E49" s="165">
        <v>1404.0</v>
      </c>
      <c r="F49" s="145">
        <v>77.0</v>
      </c>
      <c r="G49" s="145">
        <v>360.0</v>
      </c>
      <c r="H49" s="145">
        <v>0.0</v>
      </c>
      <c r="I49" s="145">
        <v>160.0</v>
      </c>
      <c r="J49" s="145">
        <v>199.0</v>
      </c>
      <c r="K49" s="145">
        <v>270.0</v>
      </c>
      <c r="L49" s="145" t="s">
        <v>29</v>
      </c>
      <c r="M49" s="145">
        <v>43.0</v>
      </c>
      <c r="N49" s="145">
        <v>215.0</v>
      </c>
      <c r="O49" s="166">
        <v>24.0</v>
      </c>
      <c r="P49" s="145">
        <v>190.0</v>
      </c>
      <c r="Q49" s="145">
        <v>8.0</v>
      </c>
      <c r="R49" s="145">
        <v>0.0</v>
      </c>
      <c r="S49" s="145">
        <v>0.0</v>
      </c>
      <c r="T49" s="147" t="s">
        <v>104</v>
      </c>
      <c r="U49" s="148" t="s">
        <v>623</v>
      </c>
      <c r="V49" s="149" t="s">
        <v>551</v>
      </c>
      <c r="W49" s="149" t="s">
        <v>551</v>
      </c>
      <c r="X49" s="147" t="s">
        <v>622</v>
      </c>
      <c r="Y49" s="147" t="s">
        <v>556</v>
      </c>
      <c r="Z49" s="147" t="s">
        <v>27</v>
      </c>
      <c r="AA49" s="147" t="s">
        <v>557</v>
      </c>
      <c r="AB49" s="147" t="s">
        <v>11</v>
      </c>
      <c r="AC49" s="147" t="s">
        <v>624</v>
      </c>
    </row>
    <row r="50" ht="15.75" customHeight="1">
      <c r="A50" s="141">
        <v>101.0</v>
      </c>
      <c r="B50" s="142" t="s">
        <v>27</v>
      </c>
      <c r="C50" s="143" t="str">
        <f>HYPERLINK("https://azurlane.koumakan.jp/Javelin","Javelin")</f>
        <v>Javelin</v>
      </c>
      <c r="D50" s="142" t="s">
        <v>28</v>
      </c>
      <c r="E50" s="145">
        <v>1619.0</v>
      </c>
      <c r="F50" s="145">
        <v>82.0</v>
      </c>
      <c r="G50" s="145">
        <v>379.0</v>
      </c>
      <c r="H50" s="145">
        <v>0.0</v>
      </c>
      <c r="I50" s="145">
        <v>164.0</v>
      </c>
      <c r="J50" s="145">
        <v>210.0</v>
      </c>
      <c r="K50" s="145">
        <v>270.0</v>
      </c>
      <c r="L50" s="145" t="s">
        <v>29</v>
      </c>
      <c r="M50" s="145">
        <v>43.0</v>
      </c>
      <c r="N50" s="145">
        <v>218.0</v>
      </c>
      <c r="O50" s="145">
        <v>65.0</v>
      </c>
      <c r="P50" s="145">
        <v>218.0</v>
      </c>
      <c r="Q50" s="145">
        <v>9.0</v>
      </c>
      <c r="R50" s="145">
        <v>0.0</v>
      </c>
      <c r="S50" s="145">
        <v>0.0</v>
      </c>
      <c r="T50" s="147" t="s">
        <v>104</v>
      </c>
      <c r="U50" s="161" t="s">
        <v>625</v>
      </c>
      <c r="V50" s="149" t="s">
        <v>551</v>
      </c>
      <c r="W50" s="149" t="s">
        <v>551</v>
      </c>
      <c r="X50" s="147" t="s">
        <v>626</v>
      </c>
      <c r="Y50" s="147" t="s">
        <v>556</v>
      </c>
      <c r="Z50" s="147" t="s">
        <v>27</v>
      </c>
      <c r="AA50" s="147" t="s">
        <v>557</v>
      </c>
      <c r="AB50" s="147" t="s">
        <v>11</v>
      </c>
      <c r="AC50" s="147" t="s">
        <v>627</v>
      </c>
    </row>
    <row r="51" ht="15.75" customHeight="1">
      <c r="A51" s="141">
        <v>101.1</v>
      </c>
      <c r="B51" s="142" t="s">
        <v>27</v>
      </c>
      <c r="C51" s="143" t="str">
        <f>HYPERLINK("https://azurlane.koumakan.jp/Javelin#Retrofit","Javelin (R)")</f>
        <v>Javelin (R)</v>
      </c>
      <c r="D51" s="142" t="s">
        <v>32</v>
      </c>
      <c r="E51" s="158">
        <v>1784.0</v>
      </c>
      <c r="F51" s="145">
        <v>92.0</v>
      </c>
      <c r="G51" s="145">
        <v>434.0</v>
      </c>
      <c r="H51" s="145">
        <v>0.0</v>
      </c>
      <c r="I51" s="145">
        <v>164.0</v>
      </c>
      <c r="J51" s="145">
        <v>210.0</v>
      </c>
      <c r="K51" s="145">
        <v>310.0</v>
      </c>
      <c r="L51" s="145" t="s">
        <v>29</v>
      </c>
      <c r="M51" s="145">
        <v>46.0</v>
      </c>
      <c r="N51" s="145">
        <v>218.0</v>
      </c>
      <c r="O51" s="145">
        <v>65.0</v>
      </c>
      <c r="P51" s="145">
        <v>218.0</v>
      </c>
      <c r="Q51" s="145">
        <v>9.0</v>
      </c>
      <c r="R51" s="145">
        <v>0.0</v>
      </c>
      <c r="S51" s="145">
        <v>0.0</v>
      </c>
      <c r="T51" s="147" t="s">
        <v>104</v>
      </c>
      <c r="U51" s="161" t="s">
        <v>625</v>
      </c>
      <c r="V51" s="149" t="s">
        <v>551</v>
      </c>
      <c r="W51" s="164" t="s">
        <v>628</v>
      </c>
      <c r="X51" s="147" t="s">
        <v>626</v>
      </c>
      <c r="Y51" s="147" t="s">
        <v>556</v>
      </c>
      <c r="Z51" s="147" t="s">
        <v>27</v>
      </c>
      <c r="AA51" s="147" t="s">
        <v>557</v>
      </c>
      <c r="AB51" s="147" t="s">
        <v>11</v>
      </c>
      <c r="AC51" s="147" t="s">
        <v>629</v>
      </c>
    </row>
    <row r="52" ht="15.75" customHeight="1">
      <c r="A52" s="141">
        <v>102.0</v>
      </c>
      <c r="B52" s="142" t="s">
        <v>27</v>
      </c>
      <c r="C52" s="143" t="str">
        <f>HYPERLINK("https://azurlane.koumakan.jp/Juno","Juno")</f>
        <v>Juno</v>
      </c>
      <c r="D52" s="142" t="s">
        <v>36</v>
      </c>
      <c r="E52" s="165">
        <v>1573.0</v>
      </c>
      <c r="F52" s="145">
        <v>77.0</v>
      </c>
      <c r="G52" s="145">
        <v>369.0</v>
      </c>
      <c r="H52" s="145">
        <v>0.0</v>
      </c>
      <c r="I52" s="145">
        <v>159.0</v>
      </c>
      <c r="J52" s="145">
        <v>204.0</v>
      </c>
      <c r="K52" s="145">
        <v>270.0</v>
      </c>
      <c r="L52" s="145" t="s">
        <v>29</v>
      </c>
      <c r="M52" s="145">
        <v>43.0</v>
      </c>
      <c r="N52" s="145">
        <v>218.0</v>
      </c>
      <c r="O52" s="166">
        <v>40.0</v>
      </c>
      <c r="P52" s="145">
        <v>213.0</v>
      </c>
      <c r="Q52" s="145">
        <v>8.0</v>
      </c>
      <c r="R52" s="145">
        <v>0.0</v>
      </c>
      <c r="S52" s="145">
        <v>0.0</v>
      </c>
      <c r="T52" s="170" t="s">
        <v>104</v>
      </c>
      <c r="U52" s="161" t="s">
        <v>587</v>
      </c>
      <c r="V52" s="149" t="s">
        <v>551</v>
      </c>
      <c r="W52" s="149" t="s">
        <v>551</v>
      </c>
      <c r="X52" s="147" t="s">
        <v>630</v>
      </c>
      <c r="Y52" s="147" t="s">
        <v>556</v>
      </c>
      <c r="Z52" s="147" t="s">
        <v>27</v>
      </c>
      <c r="AA52" s="147" t="s">
        <v>557</v>
      </c>
      <c r="AB52" s="147" t="s">
        <v>11</v>
      </c>
      <c r="AC52" s="147" t="s">
        <v>604</v>
      </c>
    </row>
    <row r="53" ht="15.75" customHeight="1">
      <c r="A53" s="141">
        <v>103.0</v>
      </c>
      <c r="B53" s="142" t="s">
        <v>27</v>
      </c>
      <c r="C53" s="143" t="str">
        <f>HYPERLINK("https://azurlane.koumakan.jp/Vampire","Vampire")</f>
        <v>Vampire</v>
      </c>
      <c r="D53" s="142" t="s">
        <v>28</v>
      </c>
      <c r="E53" s="165">
        <v>1346.0</v>
      </c>
      <c r="F53" s="145">
        <v>72.0</v>
      </c>
      <c r="G53" s="145">
        <v>381.0</v>
      </c>
      <c r="H53" s="145">
        <v>0.0</v>
      </c>
      <c r="I53" s="145">
        <v>159.0</v>
      </c>
      <c r="J53" s="145">
        <v>199.0</v>
      </c>
      <c r="K53" s="145">
        <v>252.0</v>
      </c>
      <c r="L53" s="145" t="s">
        <v>29</v>
      </c>
      <c r="M53" s="145">
        <v>40.0</v>
      </c>
      <c r="N53" s="145">
        <v>187.0</v>
      </c>
      <c r="O53" s="166">
        <v>42.0</v>
      </c>
      <c r="P53" s="145">
        <v>210.0</v>
      </c>
      <c r="Q53" s="145">
        <v>9.0</v>
      </c>
      <c r="R53" s="145">
        <v>0.0</v>
      </c>
      <c r="S53" s="145">
        <v>0.0</v>
      </c>
      <c r="T53" s="147" t="s">
        <v>104</v>
      </c>
      <c r="U53" s="161" t="s">
        <v>631</v>
      </c>
      <c r="V53" s="149" t="s">
        <v>551</v>
      </c>
      <c r="W53" s="149" t="s">
        <v>551</v>
      </c>
      <c r="X53" s="147" t="s">
        <v>632</v>
      </c>
      <c r="Y53" s="147" t="s">
        <v>556</v>
      </c>
      <c r="Z53" s="147" t="s">
        <v>27</v>
      </c>
      <c r="AA53" s="147" t="s">
        <v>557</v>
      </c>
      <c r="AB53" s="147" t="s">
        <v>11</v>
      </c>
      <c r="AC53" s="147" t="s">
        <v>600</v>
      </c>
    </row>
    <row r="54" ht="15.75" customHeight="1">
      <c r="A54" s="141">
        <v>151.0</v>
      </c>
      <c r="B54" s="142" t="s">
        <v>27</v>
      </c>
      <c r="C54" s="143" t="str">
        <f>HYPERLINK("https://azurlane.koumakan.jp/Fubuki","Fubuki")</f>
        <v>Fubuki</v>
      </c>
      <c r="D54" s="142" t="s">
        <v>28</v>
      </c>
      <c r="E54" s="165">
        <v>1842.0</v>
      </c>
      <c r="F54" s="145">
        <v>63.0</v>
      </c>
      <c r="G54" s="145">
        <v>516.0</v>
      </c>
      <c r="H54" s="145">
        <v>0.0</v>
      </c>
      <c r="I54" s="145">
        <v>149.0</v>
      </c>
      <c r="J54" s="145">
        <v>216.0</v>
      </c>
      <c r="K54" s="145">
        <v>246.0</v>
      </c>
      <c r="L54" s="145" t="s">
        <v>29</v>
      </c>
      <c r="M54" s="145">
        <v>45.0</v>
      </c>
      <c r="N54" s="145">
        <v>206.0</v>
      </c>
      <c r="O54" s="166">
        <v>34.0</v>
      </c>
      <c r="P54" s="145">
        <v>198.0</v>
      </c>
      <c r="Q54" s="145">
        <v>9.0</v>
      </c>
      <c r="R54" s="145">
        <v>0.0</v>
      </c>
      <c r="S54" s="145">
        <v>0.0</v>
      </c>
      <c r="T54" s="147" t="s">
        <v>143</v>
      </c>
      <c r="U54" s="148" t="s">
        <v>633</v>
      </c>
      <c r="V54" s="149" t="s">
        <v>551</v>
      </c>
      <c r="W54" s="149" t="s">
        <v>551</v>
      </c>
      <c r="X54" s="147" t="s">
        <v>634</v>
      </c>
      <c r="Y54" s="147" t="s">
        <v>567</v>
      </c>
      <c r="Z54" s="147" t="s">
        <v>27</v>
      </c>
      <c r="AA54" s="147" t="s">
        <v>557</v>
      </c>
      <c r="AB54" s="147" t="s">
        <v>11</v>
      </c>
      <c r="AC54" s="147" t="s">
        <v>635</v>
      </c>
    </row>
    <row r="55" ht="15.75" customHeight="1">
      <c r="A55" s="150">
        <v>152.0</v>
      </c>
      <c r="B55" s="151" t="s">
        <v>27</v>
      </c>
      <c r="C55" s="171" t="s">
        <v>145</v>
      </c>
      <c r="D55" s="153" t="s">
        <v>28</v>
      </c>
      <c r="E55" s="154">
        <v>1842.0</v>
      </c>
      <c r="F55" s="154">
        <v>69.0</v>
      </c>
      <c r="G55" s="154">
        <v>514.0</v>
      </c>
      <c r="H55" s="154">
        <v>0.0</v>
      </c>
      <c r="I55" s="154">
        <v>149.0</v>
      </c>
      <c r="J55" s="154">
        <v>216.0</v>
      </c>
      <c r="K55" s="154">
        <v>251.0</v>
      </c>
      <c r="L55" s="154" t="s">
        <v>29</v>
      </c>
      <c r="M55" s="154">
        <v>45.0</v>
      </c>
      <c r="N55" s="154">
        <v>206.0</v>
      </c>
      <c r="O55" s="154">
        <v>41.0</v>
      </c>
      <c r="P55" s="154">
        <v>202.0</v>
      </c>
      <c r="Q55" s="154">
        <v>9.0</v>
      </c>
      <c r="R55" s="154">
        <v>0.0</v>
      </c>
      <c r="S55" s="154">
        <v>0.0</v>
      </c>
      <c r="T55" s="147" t="s">
        <v>143</v>
      </c>
      <c r="U55" s="172" t="s">
        <v>636</v>
      </c>
      <c r="V55" s="173" t="s">
        <v>637</v>
      </c>
      <c r="W55" s="153" t="s">
        <v>551</v>
      </c>
      <c r="X55" s="153" t="s">
        <v>634</v>
      </c>
      <c r="Y55" s="153" t="s">
        <v>567</v>
      </c>
      <c r="Z55" s="153" t="s">
        <v>27</v>
      </c>
      <c r="AA55" s="153" t="s">
        <v>557</v>
      </c>
      <c r="AB55" s="153" t="s">
        <v>11</v>
      </c>
      <c r="AC55" s="153" t="s">
        <v>635</v>
      </c>
    </row>
    <row r="56" ht="15.75" customHeight="1">
      <c r="A56" s="141">
        <v>155.0</v>
      </c>
      <c r="B56" s="142" t="s">
        <v>27</v>
      </c>
      <c r="C56" s="143" t="str">
        <f>HYPERLINK("https://azurlane.koumakan.jp/Ayanami","Ayanami")</f>
        <v>Ayanami</v>
      </c>
      <c r="D56" s="142" t="s">
        <v>28</v>
      </c>
      <c r="E56" s="145">
        <v>1842.0</v>
      </c>
      <c r="F56" s="145">
        <v>66.0</v>
      </c>
      <c r="G56" s="145">
        <v>516.0</v>
      </c>
      <c r="H56" s="145">
        <v>0.0</v>
      </c>
      <c r="I56" s="145">
        <v>149.0</v>
      </c>
      <c r="J56" s="145">
        <v>216.0</v>
      </c>
      <c r="K56" s="145">
        <v>251.0</v>
      </c>
      <c r="L56" s="145" t="s">
        <v>29</v>
      </c>
      <c r="M56" s="145">
        <v>45.0</v>
      </c>
      <c r="N56" s="145">
        <v>206.0</v>
      </c>
      <c r="O56" s="145">
        <v>36.0</v>
      </c>
      <c r="P56" s="145">
        <v>206.0</v>
      </c>
      <c r="Q56" s="145">
        <v>9.0</v>
      </c>
      <c r="R56" s="145">
        <v>0.0</v>
      </c>
      <c r="S56" s="145">
        <v>0.0</v>
      </c>
      <c r="T56" s="147" t="s">
        <v>143</v>
      </c>
      <c r="U56" s="164" t="s">
        <v>638</v>
      </c>
      <c r="V56" s="149" t="s">
        <v>551</v>
      </c>
      <c r="W56" s="149" t="s">
        <v>551</v>
      </c>
      <c r="X56" s="147" t="s">
        <v>639</v>
      </c>
      <c r="Y56" s="147" t="s">
        <v>567</v>
      </c>
      <c r="Z56" s="147" t="s">
        <v>27</v>
      </c>
      <c r="AA56" s="147" t="s">
        <v>557</v>
      </c>
      <c r="AB56" s="147" t="s">
        <v>11</v>
      </c>
      <c r="AC56" s="147" t="s">
        <v>640</v>
      </c>
    </row>
    <row r="57" ht="15.75" customHeight="1">
      <c r="A57" s="141">
        <v>155.1</v>
      </c>
      <c r="B57" s="142" t="s">
        <v>27</v>
      </c>
      <c r="C57" s="143" t="str">
        <f>HYPERLINK("https://azurlane.koumakan.jp/Ayanami#Retrofit","Ayanami (R)")</f>
        <v>Ayanami (R)</v>
      </c>
      <c r="D57" s="142" t="s">
        <v>32</v>
      </c>
      <c r="E57" s="144">
        <v>2007.0</v>
      </c>
      <c r="F57" s="145">
        <v>76.0</v>
      </c>
      <c r="G57" s="145">
        <v>576.0</v>
      </c>
      <c r="H57" s="145">
        <v>0.0</v>
      </c>
      <c r="I57" s="145">
        <v>149.0</v>
      </c>
      <c r="J57" s="145">
        <v>231.0</v>
      </c>
      <c r="K57" s="145">
        <v>271.0</v>
      </c>
      <c r="L57" s="145" t="s">
        <v>29</v>
      </c>
      <c r="M57" s="145">
        <v>48.0</v>
      </c>
      <c r="N57" s="145">
        <v>206.0</v>
      </c>
      <c r="O57" s="146">
        <v>36.0</v>
      </c>
      <c r="P57" s="145">
        <v>206.0</v>
      </c>
      <c r="Q57" s="145">
        <v>9.0</v>
      </c>
      <c r="R57" s="145">
        <v>0.0</v>
      </c>
      <c r="S57" s="145">
        <v>0.0</v>
      </c>
      <c r="T57" s="147" t="s">
        <v>143</v>
      </c>
      <c r="U57" s="164" t="s">
        <v>638</v>
      </c>
      <c r="V57" s="149" t="s">
        <v>551</v>
      </c>
      <c r="W57" s="161" t="s">
        <v>641</v>
      </c>
      <c r="X57" s="147" t="s">
        <v>639</v>
      </c>
      <c r="Y57" s="147" t="s">
        <v>567</v>
      </c>
      <c r="Z57" s="147" t="s">
        <v>27</v>
      </c>
      <c r="AA57" s="147" t="s">
        <v>557</v>
      </c>
      <c r="AB57" s="147" t="s">
        <v>11</v>
      </c>
      <c r="AC57" s="147" t="s">
        <v>642</v>
      </c>
    </row>
    <row r="58" ht="15.75" customHeight="1">
      <c r="A58" s="141">
        <v>159.0</v>
      </c>
      <c r="B58" s="142" t="s">
        <v>27</v>
      </c>
      <c r="C58" s="143" t="str">
        <f>HYPERLINK("https://azurlane.koumakan.jp/Akatsuki","Akatsuki")</f>
        <v>Akatsuki</v>
      </c>
      <c r="D58" s="142" t="s">
        <v>36</v>
      </c>
      <c r="E58" s="165">
        <v>1790.0</v>
      </c>
      <c r="F58" s="145">
        <v>61.0</v>
      </c>
      <c r="G58" s="145">
        <v>499.0</v>
      </c>
      <c r="H58" s="145">
        <v>0.0</v>
      </c>
      <c r="I58" s="145">
        <v>153.0</v>
      </c>
      <c r="J58" s="145">
        <v>213.0</v>
      </c>
      <c r="K58" s="145">
        <v>251.0</v>
      </c>
      <c r="L58" s="145" t="s">
        <v>29</v>
      </c>
      <c r="M58" s="145">
        <v>45.0</v>
      </c>
      <c r="N58" s="145">
        <v>201.0</v>
      </c>
      <c r="O58" s="166">
        <v>45.0</v>
      </c>
      <c r="P58" s="145">
        <v>193.0</v>
      </c>
      <c r="Q58" s="145">
        <v>8.0</v>
      </c>
      <c r="R58" s="145">
        <v>0.0</v>
      </c>
      <c r="S58" s="145">
        <v>0.0</v>
      </c>
      <c r="T58" s="147" t="s">
        <v>143</v>
      </c>
      <c r="U58" s="164" t="s">
        <v>643</v>
      </c>
      <c r="V58" s="149" t="s">
        <v>551</v>
      </c>
      <c r="W58" s="149" t="s">
        <v>551</v>
      </c>
      <c r="X58" s="147" t="s">
        <v>644</v>
      </c>
      <c r="Y58" s="147" t="s">
        <v>567</v>
      </c>
      <c r="Z58" s="147" t="s">
        <v>27</v>
      </c>
      <c r="AA58" s="147" t="s">
        <v>557</v>
      </c>
      <c r="AB58" s="147" t="s">
        <v>11</v>
      </c>
      <c r="AC58" s="147" t="s">
        <v>645</v>
      </c>
    </row>
    <row r="59" ht="15.75" customHeight="1">
      <c r="A59" s="150">
        <v>160.0</v>
      </c>
      <c r="B59" s="151" t="s">
        <v>27</v>
      </c>
      <c r="C59" s="174" t="str">
        <f>HYPERLINK("https://azurlane.koumakan.jp/Hibiki","Hibiki")</f>
        <v>Hibiki</v>
      </c>
      <c r="D59" s="153" t="s">
        <v>28</v>
      </c>
      <c r="E59" s="175">
        <v>1842.0</v>
      </c>
      <c r="F59" s="154">
        <v>63.0</v>
      </c>
      <c r="G59" s="154">
        <v>531.0</v>
      </c>
      <c r="H59" s="154">
        <v>0.0</v>
      </c>
      <c r="I59" s="154">
        <v>157.0</v>
      </c>
      <c r="J59" s="154">
        <v>218.0</v>
      </c>
      <c r="K59" s="154">
        <v>251.0</v>
      </c>
      <c r="L59" s="154" t="s">
        <v>29</v>
      </c>
      <c r="M59" s="154">
        <v>45.0</v>
      </c>
      <c r="N59" s="154">
        <v>201.0</v>
      </c>
      <c r="O59" s="176">
        <v>88.0</v>
      </c>
      <c r="P59" s="154">
        <v>198.0</v>
      </c>
      <c r="Q59" s="154">
        <v>9.0</v>
      </c>
      <c r="R59" s="154">
        <v>0.0</v>
      </c>
      <c r="S59" s="154">
        <v>0.0</v>
      </c>
      <c r="T59" s="147" t="s">
        <v>143</v>
      </c>
      <c r="U59" s="173" t="s">
        <v>646</v>
      </c>
      <c r="V59" s="164" t="s">
        <v>643</v>
      </c>
      <c r="W59" s="153" t="s">
        <v>551</v>
      </c>
      <c r="X59" s="153" t="s">
        <v>644</v>
      </c>
      <c r="Y59" s="153" t="s">
        <v>567</v>
      </c>
      <c r="Z59" s="153" t="s">
        <v>27</v>
      </c>
      <c r="AA59" s="153" t="s">
        <v>557</v>
      </c>
      <c r="AB59" s="153" t="s">
        <v>11</v>
      </c>
      <c r="AC59" s="153" t="s">
        <v>647</v>
      </c>
    </row>
    <row r="60" ht="15.75" customHeight="1">
      <c r="A60" s="141">
        <v>161.0</v>
      </c>
      <c r="B60" s="142" t="s">
        <v>27</v>
      </c>
      <c r="C60" s="143" t="str">
        <f>HYPERLINK("https://azurlane.koumakan.jp/Ikazuchi","Ikazuchi")</f>
        <v>Ikazuchi</v>
      </c>
      <c r="D60" s="142" t="s">
        <v>36</v>
      </c>
      <c r="E60" s="145">
        <v>1790.0</v>
      </c>
      <c r="F60" s="145">
        <v>61.0</v>
      </c>
      <c r="G60" s="145">
        <v>499.0</v>
      </c>
      <c r="H60" s="145">
        <v>0.0</v>
      </c>
      <c r="I60" s="145">
        <v>153.0</v>
      </c>
      <c r="J60" s="145">
        <v>213.0</v>
      </c>
      <c r="K60" s="145">
        <v>251.0</v>
      </c>
      <c r="L60" s="145" t="s">
        <v>29</v>
      </c>
      <c r="M60" s="145">
        <v>45.0</v>
      </c>
      <c r="N60" s="145">
        <v>201.0</v>
      </c>
      <c r="O60" s="145">
        <v>52.0</v>
      </c>
      <c r="P60" s="145">
        <v>172.0</v>
      </c>
      <c r="Q60" s="145">
        <v>8.0</v>
      </c>
      <c r="R60" s="145">
        <v>0.0</v>
      </c>
      <c r="S60" s="145">
        <v>0.0</v>
      </c>
      <c r="T60" s="147" t="s">
        <v>143</v>
      </c>
      <c r="U60" s="164" t="s">
        <v>643</v>
      </c>
      <c r="V60" s="149" t="s">
        <v>551</v>
      </c>
      <c r="W60" s="149" t="s">
        <v>551</v>
      </c>
      <c r="X60" s="147" t="s">
        <v>644</v>
      </c>
      <c r="Y60" s="147" t="s">
        <v>567</v>
      </c>
      <c r="Z60" s="147" t="s">
        <v>27</v>
      </c>
      <c r="AA60" s="147" t="s">
        <v>557</v>
      </c>
      <c r="AB60" s="147" t="s">
        <v>11</v>
      </c>
      <c r="AC60" s="147" t="s">
        <v>645</v>
      </c>
    </row>
    <row r="61" ht="15.75" customHeight="1">
      <c r="A61" s="141">
        <v>162.0</v>
      </c>
      <c r="B61" s="142" t="s">
        <v>27</v>
      </c>
      <c r="C61" s="143" t="str">
        <f>HYPERLINK("https://azurlane.koumakan.jp/Inazuma","Inazuma")</f>
        <v>Inazuma</v>
      </c>
      <c r="D61" s="142" t="s">
        <v>36</v>
      </c>
      <c r="E61" s="165">
        <v>1790.0</v>
      </c>
      <c r="F61" s="145">
        <v>61.0</v>
      </c>
      <c r="G61" s="145">
        <v>499.0</v>
      </c>
      <c r="H61" s="145">
        <v>0.0</v>
      </c>
      <c r="I61" s="145">
        <v>153.0</v>
      </c>
      <c r="J61" s="145">
        <v>213.0</v>
      </c>
      <c r="K61" s="145">
        <v>251.0</v>
      </c>
      <c r="L61" s="145" t="s">
        <v>29</v>
      </c>
      <c r="M61" s="145">
        <v>45.0</v>
      </c>
      <c r="N61" s="145">
        <v>201.0</v>
      </c>
      <c r="O61" s="166">
        <v>57.0</v>
      </c>
      <c r="P61" s="145">
        <v>172.0</v>
      </c>
      <c r="Q61" s="145">
        <v>8.0</v>
      </c>
      <c r="R61" s="145">
        <v>0.0</v>
      </c>
      <c r="S61" s="145">
        <v>0.0</v>
      </c>
      <c r="T61" s="147" t="s">
        <v>143</v>
      </c>
      <c r="U61" s="164" t="s">
        <v>643</v>
      </c>
      <c r="V61" s="149" t="s">
        <v>551</v>
      </c>
      <c r="W61" s="149" t="s">
        <v>551</v>
      </c>
      <c r="X61" s="147" t="s">
        <v>644</v>
      </c>
      <c r="Y61" s="147" t="s">
        <v>567</v>
      </c>
      <c r="Z61" s="147" t="s">
        <v>27</v>
      </c>
      <c r="AA61" s="147" t="s">
        <v>557</v>
      </c>
      <c r="AB61" s="147" t="s">
        <v>11</v>
      </c>
      <c r="AC61" s="147" t="s">
        <v>645</v>
      </c>
    </row>
    <row r="62" ht="15.75" customHeight="1">
      <c r="A62" s="141">
        <v>163.0</v>
      </c>
      <c r="B62" s="142" t="s">
        <v>27</v>
      </c>
      <c r="C62" s="143" t="str">
        <f>HYPERLINK("https://azurlane.koumakan.jp/Shiratsuyu","Shiratsuyu")</f>
        <v>Shiratsuyu</v>
      </c>
      <c r="D62" s="142" t="s">
        <v>36</v>
      </c>
      <c r="E62" s="165">
        <v>1754.0</v>
      </c>
      <c r="F62" s="145">
        <v>66.0</v>
      </c>
      <c r="G62" s="145">
        <v>516.0</v>
      </c>
      <c r="H62" s="145">
        <v>0.0</v>
      </c>
      <c r="I62" s="145">
        <v>153.0</v>
      </c>
      <c r="J62" s="145">
        <v>199.0</v>
      </c>
      <c r="K62" s="145">
        <v>246.0</v>
      </c>
      <c r="L62" s="145" t="s">
        <v>29</v>
      </c>
      <c r="M62" s="145">
        <v>40.0</v>
      </c>
      <c r="N62" s="145">
        <v>205.0</v>
      </c>
      <c r="O62" s="166">
        <v>41.0</v>
      </c>
      <c r="P62" s="145">
        <v>168.0</v>
      </c>
      <c r="Q62" s="145">
        <v>8.0</v>
      </c>
      <c r="R62" s="145">
        <v>0.0</v>
      </c>
      <c r="S62" s="145">
        <v>0.0</v>
      </c>
      <c r="T62" s="147" t="s">
        <v>143</v>
      </c>
      <c r="U62" s="148" t="s">
        <v>648</v>
      </c>
      <c r="V62" s="149" t="s">
        <v>551</v>
      </c>
      <c r="W62" s="149" t="s">
        <v>551</v>
      </c>
      <c r="X62" s="147" t="s">
        <v>649</v>
      </c>
      <c r="Y62" s="147" t="s">
        <v>567</v>
      </c>
      <c r="Z62" s="147" t="s">
        <v>27</v>
      </c>
      <c r="AA62" s="147" t="s">
        <v>557</v>
      </c>
      <c r="AB62" s="147" t="s">
        <v>11</v>
      </c>
      <c r="AC62" s="147" t="s">
        <v>645</v>
      </c>
    </row>
    <row r="63" ht="15.75" customHeight="1">
      <c r="A63" s="141">
        <v>164.0</v>
      </c>
      <c r="B63" s="142" t="s">
        <v>27</v>
      </c>
      <c r="C63" s="143" t="str">
        <f>HYPERLINK("https://azurlane.koumakan.jp/Yuudachi","Yuudachi")</f>
        <v>Yuudachi</v>
      </c>
      <c r="D63" s="142" t="s">
        <v>32</v>
      </c>
      <c r="E63" s="165">
        <v>1873.0</v>
      </c>
      <c r="F63" s="145">
        <v>71.0</v>
      </c>
      <c r="G63" s="145">
        <v>551.0</v>
      </c>
      <c r="H63" s="145">
        <v>0.0</v>
      </c>
      <c r="I63" s="145">
        <v>160.0</v>
      </c>
      <c r="J63" s="145">
        <v>229.0</v>
      </c>
      <c r="K63" s="145">
        <v>246.0</v>
      </c>
      <c r="L63" s="145" t="s">
        <v>29</v>
      </c>
      <c r="M63" s="145">
        <v>40.0</v>
      </c>
      <c r="N63" s="145">
        <v>215.0</v>
      </c>
      <c r="O63" s="166">
        <v>32.0</v>
      </c>
      <c r="P63" s="145">
        <v>203.0</v>
      </c>
      <c r="Q63" s="145">
        <v>10.0</v>
      </c>
      <c r="R63" s="145">
        <v>0.0</v>
      </c>
      <c r="S63" s="145">
        <v>0.0</v>
      </c>
      <c r="T63" s="147" t="s">
        <v>143</v>
      </c>
      <c r="U63" s="164" t="s">
        <v>650</v>
      </c>
      <c r="V63" s="149" t="s">
        <v>551</v>
      </c>
      <c r="W63" s="149" t="s">
        <v>551</v>
      </c>
      <c r="X63" s="147" t="s">
        <v>651</v>
      </c>
      <c r="Y63" s="147" t="s">
        <v>567</v>
      </c>
      <c r="Z63" s="147" t="s">
        <v>27</v>
      </c>
      <c r="AA63" s="147" t="s">
        <v>557</v>
      </c>
      <c r="AB63" s="147" t="s">
        <v>11</v>
      </c>
      <c r="AC63" s="147" t="s">
        <v>652</v>
      </c>
    </row>
    <row r="64" ht="15.75" customHeight="1">
      <c r="A64" s="150">
        <v>164.1</v>
      </c>
      <c r="B64" s="151" t="s">
        <v>27</v>
      </c>
      <c r="C64" s="171" t="s">
        <v>153</v>
      </c>
      <c r="D64" s="153" t="s">
        <v>34</v>
      </c>
      <c r="E64" s="154">
        <v>2038.0</v>
      </c>
      <c r="F64" s="154">
        <v>111.0</v>
      </c>
      <c r="G64" s="154">
        <v>591.0</v>
      </c>
      <c r="H64" s="154">
        <v>0.0</v>
      </c>
      <c r="I64" s="154">
        <v>160.0</v>
      </c>
      <c r="J64" s="154">
        <v>229.0</v>
      </c>
      <c r="K64" s="154">
        <v>286.0</v>
      </c>
      <c r="L64" s="154" t="s">
        <v>29</v>
      </c>
      <c r="M64" s="154">
        <v>40.0</v>
      </c>
      <c r="N64" s="154">
        <v>215.0</v>
      </c>
      <c r="O64" s="154">
        <v>32.0</v>
      </c>
      <c r="P64" s="154">
        <v>203.0</v>
      </c>
      <c r="Q64" s="154">
        <v>10.0</v>
      </c>
      <c r="R64" s="154">
        <v>0.0</v>
      </c>
      <c r="S64" s="154">
        <v>0.0</v>
      </c>
      <c r="T64" s="147" t="s">
        <v>143</v>
      </c>
      <c r="U64" s="164" t="s">
        <v>653</v>
      </c>
      <c r="V64" s="153" t="s">
        <v>551</v>
      </c>
      <c r="W64" s="173" t="s">
        <v>654</v>
      </c>
      <c r="X64" s="153" t="s">
        <v>655</v>
      </c>
      <c r="Y64" s="153" t="s">
        <v>567</v>
      </c>
      <c r="Z64" s="153" t="s">
        <v>27</v>
      </c>
      <c r="AA64" s="153" t="s">
        <v>557</v>
      </c>
      <c r="AB64" s="153" t="s">
        <v>11</v>
      </c>
      <c r="AC64" s="153" t="s">
        <v>656</v>
      </c>
    </row>
    <row r="65" ht="15.75" customHeight="1">
      <c r="A65" s="141">
        <v>165.0</v>
      </c>
      <c r="B65" s="142" t="s">
        <v>27</v>
      </c>
      <c r="C65" s="143" t="str">
        <f>HYPERLINK("https://azurlane.koumakan.jp/Shigure","Shigure")</f>
        <v>Shigure</v>
      </c>
      <c r="D65" s="142" t="s">
        <v>28</v>
      </c>
      <c r="E65" s="145">
        <v>1806.0</v>
      </c>
      <c r="F65" s="145">
        <v>66.0</v>
      </c>
      <c r="G65" s="145">
        <v>531.0</v>
      </c>
      <c r="H65" s="145">
        <v>0.0</v>
      </c>
      <c r="I65" s="145">
        <v>153.0</v>
      </c>
      <c r="J65" s="145">
        <v>215.0</v>
      </c>
      <c r="K65" s="145">
        <v>246.0</v>
      </c>
      <c r="L65" s="145" t="s">
        <v>29</v>
      </c>
      <c r="M65" s="145">
        <v>40.0</v>
      </c>
      <c r="N65" s="145">
        <v>205.0</v>
      </c>
      <c r="O65" s="145">
        <v>84.0</v>
      </c>
      <c r="P65" s="145">
        <v>184.0</v>
      </c>
      <c r="Q65" s="145">
        <v>9.0</v>
      </c>
      <c r="R65" s="145">
        <v>0.0</v>
      </c>
      <c r="S65" s="145">
        <v>0.0</v>
      </c>
      <c r="T65" s="147" t="s">
        <v>143</v>
      </c>
      <c r="U65" s="161" t="s">
        <v>657</v>
      </c>
      <c r="V65" s="149" t="s">
        <v>551</v>
      </c>
      <c r="W65" s="149" t="s">
        <v>551</v>
      </c>
      <c r="X65" s="147" t="s">
        <v>649</v>
      </c>
      <c r="Y65" s="147" t="s">
        <v>567</v>
      </c>
      <c r="Z65" s="147" t="s">
        <v>27</v>
      </c>
      <c r="AA65" s="147" t="s">
        <v>557</v>
      </c>
      <c r="AB65" s="147" t="s">
        <v>11</v>
      </c>
      <c r="AC65" s="147" t="s">
        <v>645</v>
      </c>
    </row>
    <row r="66" ht="15.75" customHeight="1">
      <c r="A66" s="177">
        <v>165.1</v>
      </c>
      <c r="B66" s="142" t="s">
        <v>27</v>
      </c>
      <c r="C66" s="143" t="str">
        <f>HYPERLINK("https://azurlane.koumakan.jp/Shigure#Retrofit","Shigure (R)")</f>
        <v>Shigure (R)</v>
      </c>
      <c r="D66" s="158" t="s">
        <v>32</v>
      </c>
      <c r="E66" s="145">
        <v>1971.0</v>
      </c>
      <c r="F66" s="145">
        <v>86.0</v>
      </c>
      <c r="G66" s="145">
        <v>596.0</v>
      </c>
      <c r="H66" s="145">
        <v>0.0</v>
      </c>
      <c r="I66" s="145">
        <v>153.0</v>
      </c>
      <c r="J66" s="145">
        <v>215.0</v>
      </c>
      <c r="K66" s="145">
        <v>266.0</v>
      </c>
      <c r="L66" s="145" t="s">
        <v>29</v>
      </c>
      <c r="M66" s="145">
        <v>40.0</v>
      </c>
      <c r="N66" s="145">
        <v>205.0</v>
      </c>
      <c r="O66" s="145">
        <v>84.0</v>
      </c>
      <c r="P66" s="145">
        <v>204.0</v>
      </c>
      <c r="Q66" s="145">
        <v>9.0</v>
      </c>
      <c r="R66" s="145">
        <v>0.0</v>
      </c>
      <c r="S66" s="145">
        <v>0.0</v>
      </c>
      <c r="T66" s="147" t="s">
        <v>143</v>
      </c>
      <c r="U66" s="161" t="s">
        <v>657</v>
      </c>
      <c r="V66" s="149" t="s">
        <v>551</v>
      </c>
      <c r="W66" s="148" t="s">
        <v>658</v>
      </c>
      <c r="X66" s="153" t="s">
        <v>649</v>
      </c>
      <c r="Y66" s="153" t="s">
        <v>567</v>
      </c>
      <c r="Z66" s="147" t="s">
        <v>27</v>
      </c>
      <c r="AA66" s="147" t="s">
        <v>557</v>
      </c>
      <c r="AB66" s="147" t="s">
        <v>11</v>
      </c>
      <c r="AC66" s="178" t="s">
        <v>659</v>
      </c>
    </row>
    <row r="67" ht="15.75" customHeight="1">
      <c r="A67" s="141">
        <v>166.0</v>
      </c>
      <c r="B67" s="142" t="s">
        <v>27</v>
      </c>
      <c r="C67" s="143" t="str">
        <f>HYPERLINK("https://azurlane.koumakan.jp/Yukikaze","Yukikaze")</f>
        <v>Yukikaze</v>
      </c>
      <c r="D67" s="142" t="s">
        <v>32</v>
      </c>
      <c r="E67" s="145">
        <v>2280.0</v>
      </c>
      <c r="F67" s="145">
        <v>69.0</v>
      </c>
      <c r="G67" s="145">
        <v>532.0</v>
      </c>
      <c r="H67" s="145">
        <v>0.0</v>
      </c>
      <c r="I67" s="145">
        <v>164.0</v>
      </c>
      <c r="J67" s="145">
        <v>226.0</v>
      </c>
      <c r="K67" s="145">
        <v>248.0</v>
      </c>
      <c r="L67" s="145" t="s">
        <v>29</v>
      </c>
      <c r="M67" s="145">
        <v>42.0</v>
      </c>
      <c r="N67" s="145">
        <v>219.0</v>
      </c>
      <c r="O67" s="168">
        <v>98.0</v>
      </c>
      <c r="P67" s="145">
        <v>213.0</v>
      </c>
      <c r="Q67" s="145">
        <v>10.0</v>
      </c>
      <c r="R67" s="145">
        <v>0.0</v>
      </c>
      <c r="S67" s="145">
        <v>0.0</v>
      </c>
      <c r="T67" s="147" t="s">
        <v>143</v>
      </c>
      <c r="U67" s="148" t="s">
        <v>660</v>
      </c>
      <c r="V67" s="161" t="s">
        <v>661</v>
      </c>
      <c r="W67" s="149" t="s">
        <v>551</v>
      </c>
      <c r="X67" s="147" t="s">
        <v>662</v>
      </c>
      <c r="Y67" s="147" t="s">
        <v>567</v>
      </c>
      <c r="Z67" s="147" t="s">
        <v>27</v>
      </c>
      <c r="AA67" s="147" t="s">
        <v>557</v>
      </c>
      <c r="AB67" s="147" t="s">
        <v>11</v>
      </c>
      <c r="AC67" s="147" t="s">
        <v>645</v>
      </c>
    </row>
    <row r="68" ht="15.75" customHeight="1">
      <c r="A68" s="141">
        <v>167.0</v>
      </c>
      <c r="B68" s="142" t="s">
        <v>27</v>
      </c>
      <c r="C68" s="143" t="str">
        <f>HYPERLINK("https://azurlane.koumakan.jp/Kagerou","Kagerou")</f>
        <v>Kagerou</v>
      </c>
      <c r="D68" s="142" t="s">
        <v>36</v>
      </c>
      <c r="E68" s="145">
        <v>1931.0</v>
      </c>
      <c r="F68" s="145">
        <v>66.0</v>
      </c>
      <c r="G68" s="145">
        <v>518.0</v>
      </c>
      <c r="H68" s="145">
        <v>0.0</v>
      </c>
      <c r="I68" s="145">
        <v>153.0</v>
      </c>
      <c r="J68" s="145">
        <v>204.0</v>
      </c>
      <c r="K68" s="145">
        <v>248.0</v>
      </c>
      <c r="L68" s="145" t="s">
        <v>29</v>
      </c>
      <c r="M68" s="145">
        <v>42.0</v>
      </c>
      <c r="N68" s="145">
        <v>207.0</v>
      </c>
      <c r="O68" s="145">
        <v>25.0</v>
      </c>
      <c r="P68" s="145">
        <v>192.0</v>
      </c>
      <c r="Q68" s="145">
        <v>8.0</v>
      </c>
      <c r="R68" s="145">
        <v>0.0</v>
      </c>
      <c r="S68" s="145">
        <v>0.0</v>
      </c>
      <c r="T68" s="147" t="s">
        <v>143</v>
      </c>
      <c r="U68" s="148" t="s">
        <v>663</v>
      </c>
      <c r="V68" s="164" t="s">
        <v>565</v>
      </c>
      <c r="W68" s="149" t="s">
        <v>551</v>
      </c>
      <c r="X68" s="147" t="s">
        <v>664</v>
      </c>
      <c r="Y68" s="147" t="s">
        <v>567</v>
      </c>
      <c r="Z68" s="147" t="s">
        <v>27</v>
      </c>
      <c r="AA68" s="147" t="s">
        <v>557</v>
      </c>
      <c r="AB68" s="147" t="s">
        <v>11</v>
      </c>
      <c r="AC68" s="147" t="s">
        <v>645</v>
      </c>
    </row>
    <row r="69" ht="15.75" customHeight="1">
      <c r="A69" s="141">
        <v>167.1</v>
      </c>
      <c r="B69" s="142" t="s">
        <v>27</v>
      </c>
      <c r="C69" s="143" t="str">
        <f>HYPERLINK("https://azurlane.koumakan.jp/Kagerou#Retrofit","Kagerou (R)")</f>
        <v>Kagerou (R)</v>
      </c>
      <c r="D69" s="142" t="s">
        <v>28</v>
      </c>
      <c r="E69" s="158">
        <v>2096.0</v>
      </c>
      <c r="F69" s="145">
        <v>76.0</v>
      </c>
      <c r="G69" s="145">
        <v>558.0</v>
      </c>
      <c r="H69" s="145">
        <v>0.0</v>
      </c>
      <c r="I69" s="145">
        <v>153.0</v>
      </c>
      <c r="J69" s="145">
        <v>224.0</v>
      </c>
      <c r="K69" s="145">
        <v>248.0</v>
      </c>
      <c r="L69" s="145" t="s">
        <v>29</v>
      </c>
      <c r="M69" s="145">
        <v>45.0</v>
      </c>
      <c r="N69" s="145">
        <v>207.0</v>
      </c>
      <c r="O69" s="169">
        <v>25.0</v>
      </c>
      <c r="P69" s="145">
        <v>212.0</v>
      </c>
      <c r="Q69" s="145">
        <v>8.0</v>
      </c>
      <c r="R69" s="145">
        <v>0.0</v>
      </c>
      <c r="S69" s="145">
        <v>0.0</v>
      </c>
      <c r="T69" s="147" t="s">
        <v>143</v>
      </c>
      <c r="U69" s="148" t="s">
        <v>663</v>
      </c>
      <c r="V69" s="164" t="s">
        <v>565</v>
      </c>
      <c r="W69" s="148" t="s">
        <v>603</v>
      </c>
      <c r="X69" s="147" t="s">
        <v>664</v>
      </c>
      <c r="Y69" s="147" t="s">
        <v>567</v>
      </c>
      <c r="Z69" s="147" t="s">
        <v>27</v>
      </c>
      <c r="AA69" s="147" t="s">
        <v>557</v>
      </c>
      <c r="AB69" s="147" t="s">
        <v>11</v>
      </c>
      <c r="AC69" s="147" t="s">
        <v>665</v>
      </c>
    </row>
    <row r="70" ht="15.75" customHeight="1">
      <c r="A70" s="141">
        <v>168.0</v>
      </c>
      <c r="B70" s="142" t="s">
        <v>27</v>
      </c>
      <c r="C70" s="143" t="str">
        <f>HYPERLINK("https://azurlane.koumakan.jp/Shiranui","Shiranui")</f>
        <v>Shiranui</v>
      </c>
      <c r="D70" s="142" t="s">
        <v>40</v>
      </c>
      <c r="E70" s="145">
        <v>1893.0</v>
      </c>
      <c r="F70" s="145">
        <v>64.0</v>
      </c>
      <c r="G70" s="145">
        <v>508.0</v>
      </c>
      <c r="H70" s="145">
        <v>0.0</v>
      </c>
      <c r="I70" s="145">
        <v>148.0</v>
      </c>
      <c r="J70" s="145">
        <v>199.0</v>
      </c>
      <c r="K70" s="145">
        <v>248.0</v>
      </c>
      <c r="L70" s="145" t="s">
        <v>29</v>
      </c>
      <c r="M70" s="145">
        <v>42.0</v>
      </c>
      <c r="N70" s="145">
        <v>207.0</v>
      </c>
      <c r="O70" s="145">
        <v>25.0</v>
      </c>
      <c r="P70" s="145">
        <v>176.0</v>
      </c>
      <c r="Q70" s="145">
        <v>7.0</v>
      </c>
      <c r="R70" s="145">
        <v>0.0</v>
      </c>
      <c r="S70" s="145">
        <v>0.0</v>
      </c>
      <c r="T70" s="147" t="s">
        <v>143</v>
      </c>
      <c r="U70" s="164" t="s">
        <v>565</v>
      </c>
      <c r="V70" s="149" t="s">
        <v>551</v>
      </c>
      <c r="W70" s="149" t="s">
        <v>551</v>
      </c>
      <c r="X70" s="147" t="s">
        <v>664</v>
      </c>
      <c r="Y70" s="147" t="s">
        <v>567</v>
      </c>
      <c r="Z70" s="147" t="s">
        <v>27</v>
      </c>
      <c r="AA70" s="147" t="s">
        <v>557</v>
      </c>
      <c r="AB70" s="147" t="s">
        <v>11</v>
      </c>
      <c r="AC70" s="147" t="s">
        <v>645</v>
      </c>
    </row>
    <row r="71" ht="15.75" customHeight="1">
      <c r="A71" s="141">
        <v>168.1</v>
      </c>
      <c r="B71" s="142" t="s">
        <v>27</v>
      </c>
      <c r="C71" s="143" t="str">
        <f>HYPERLINK("https://azurlane.koumakan.jp/Shiranui#Retrofit","Shiranui (R)")</f>
        <v>Shiranui (R)</v>
      </c>
      <c r="D71" s="142" t="s">
        <v>36</v>
      </c>
      <c r="E71" s="158">
        <v>1953.0</v>
      </c>
      <c r="F71" s="158">
        <v>74.0</v>
      </c>
      <c r="G71" s="158">
        <v>568.0</v>
      </c>
      <c r="H71" s="145">
        <v>0.0</v>
      </c>
      <c r="I71" s="158">
        <v>148.0</v>
      </c>
      <c r="J71" s="145">
        <v>199.0</v>
      </c>
      <c r="K71" s="158">
        <v>268.0</v>
      </c>
      <c r="L71" s="145" t="s">
        <v>29</v>
      </c>
      <c r="M71" s="145">
        <v>45.0</v>
      </c>
      <c r="N71" s="145">
        <v>207.0</v>
      </c>
      <c r="O71" s="169">
        <v>25.0</v>
      </c>
      <c r="P71" s="145">
        <v>176.0</v>
      </c>
      <c r="Q71" s="145">
        <v>7.0</v>
      </c>
      <c r="R71" s="145">
        <v>0.0</v>
      </c>
      <c r="S71" s="145">
        <v>0.0</v>
      </c>
      <c r="T71" s="147" t="s">
        <v>143</v>
      </c>
      <c r="U71" s="164" t="s">
        <v>565</v>
      </c>
      <c r="V71" s="149" t="s">
        <v>551</v>
      </c>
      <c r="W71" s="161" t="s">
        <v>602</v>
      </c>
      <c r="X71" s="147" t="s">
        <v>664</v>
      </c>
      <c r="Y71" s="147" t="s">
        <v>567</v>
      </c>
      <c r="Z71" s="147" t="s">
        <v>27</v>
      </c>
      <c r="AA71" s="147" t="s">
        <v>557</v>
      </c>
      <c r="AB71" s="147" t="s">
        <v>11</v>
      </c>
      <c r="AC71" s="147" t="s">
        <v>666</v>
      </c>
    </row>
    <row r="72" ht="15.75" customHeight="1">
      <c r="A72" s="141">
        <v>170.0</v>
      </c>
      <c r="B72" s="142" t="s">
        <v>27</v>
      </c>
      <c r="C72" s="143" t="str">
        <f>HYPERLINK("https://azurlane.koumakan.jp/Nowaki","Nowaki")</f>
        <v>Nowaki</v>
      </c>
      <c r="D72" s="142" t="s">
        <v>28</v>
      </c>
      <c r="E72" s="145">
        <v>2197.0</v>
      </c>
      <c r="F72" s="145">
        <v>66.0</v>
      </c>
      <c r="G72" s="145">
        <v>532.0</v>
      </c>
      <c r="H72" s="145">
        <v>0.0</v>
      </c>
      <c r="I72" s="145">
        <v>157.0</v>
      </c>
      <c r="J72" s="145">
        <v>213.0</v>
      </c>
      <c r="K72" s="145">
        <v>246.0</v>
      </c>
      <c r="L72" s="145" t="s">
        <v>29</v>
      </c>
      <c r="M72" s="145">
        <v>42.0</v>
      </c>
      <c r="N72" s="145">
        <v>215.0</v>
      </c>
      <c r="O72" s="145">
        <v>72.0</v>
      </c>
      <c r="P72" s="145">
        <v>194.0</v>
      </c>
      <c r="Q72" s="145">
        <v>9.0</v>
      </c>
      <c r="R72" s="145">
        <v>0.0</v>
      </c>
      <c r="S72" s="145">
        <v>0.0</v>
      </c>
      <c r="T72" s="147" t="s">
        <v>143</v>
      </c>
      <c r="U72" s="161" t="s">
        <v>667</v>
      </c>
      <c r="V72" s="149" t="s">
        <v>551</v>
      </c>
      <c r="W72" s="149" t="s">
        <v>551</v>
      </c>
      <c r="X72" s="147" t="s">
        <v>664</v>
      </c>
      <c r="Y72" s="147" t="s">
        <v>567</v>
      </c>
      <c r="Z72" s="147" t="s">
        <v>27</v>
      </c>
      <c r="AA72" s="147" t="s">
        <v>557</v>
      </c>
      <c r="AB72" s="147" t="s">
        <v>11</v>
      </c>
      <c r="AC72" s="147" t="s">
        <v>665</v>
      </c>
    </row>
    <row r="73" ht="15.75" customHeight="1">
      <c r="A73" s="141">
        <v>171.0</v>
      </c>
      <c r="B73" s="142" t="s">
        <v>27</v>
      </c>
      <c r="C73" s="143" t="str">
        <f>HYPERLINK("https://azurlane.koumakan.jp/Hatsuharu","Hatsuharu")</f>
        <v>Hatsuharu</v>
      </c>
      <c r="D73" s="142" t="s">
        <v>36</v>
      </c>
      <c r="E73" s="145">
        <v>1816.0</v>
      </c>
      <c r="F73" s="145">
        <v>60.0</v>
      </c>
      <c r="G73" s="145">
        <v>484.0</v>
      </c>
      <c r="H73" s="145">
        <v>0.0</v>
      </c>
      <c r="I73" s="145">
        <v>148.0</v>
      </c>
      <c r="J73" s="145">
        <v>199.0</v>
      </c>
      <c r="K73" s="145">
        <v>248.0</v>
      </c>
      <c r="L73" s="145" t="s">
        <v>29</v>
      </c>
      <c r="M73" s="145">
        <v>43.0</v>
      </c>
      <c r="N73" s="145">
        <v>203.0</v>
      </c>
      <c r="O73" s="145">
        <v>45.0</v>
      </c>
      <c r="P73" s="145">
        <v>192.0</v>
      </c>
      <c r="Q73" s="145">
        <v>8.0</v>
      </c>
      <c r="R73" s="145">
        <v>0.0</v>
      </c>
      <c r="S73" s="145">
        <v>0.0</v>
      </c>
      <c r="T73" s="147" t="s">
        <v>143</v>
      </c>
      <c r="U73" s="164" t="s">
        <v>565</v>
      </c>
      <c r="V73" s="149" t="s">
        <v>551</v>
      </c>
      <c r="W73" s="149" t="s">
        <v>551</v>
      </c>
      <c r="X73" s="147" t="s">
        <v>668</v>
      </c>
      <c r="Y73" s="147" t="s">
        <v>567</v>
      </c>
      <c r="Z73" s="147" t="s">
        <v>27</v>
      </c>
      <c r="AA73" s="147" t="s">
        <v>557</v>
      </c>
      <c r="AB73" s="147" t="s">
        <v>11</v>
      </c>
      <c r="AC73" s="147" t="s">
        <v>645</v>
      </c>
    </row>
    <row r="74" ht="15.75" customHeight="1">
      <c r="A74" s="141">
        <v>171.1</v>
      </c>
      <c r="B74" s="142" t="s">
        <v>27</v>
      </c>
      <c r="C74" s="143" t="str">
        <f>HYPERLINK("https://azurlane.koumakan.jp/Hatsuharu#Retrofit","Hatsuharu (R)")</f>
        <v>Hatsuharu (R)</v>
      </c>
      <c r="D74" s="142" t="s">
        <v>28</v>
      </c>
      <c r="E74" s="145">
        <v>1981.0</v>
      </c>
      <c r="F74" s="145">
        <v>60.0</v>
      </c>
      <c r="G74" s="145">
        <v>524.0</v>
      </c>
      <c r="H74" s="145">
        <v>0.0</v>
      </c>
      <c r="I74" s="145">
        <v>178.0</v>
      </c>
      <c r="J74" s="145">
        <v>199.0</v>
      </c>
      <c r="K74" s="145">
        <v>268.0</v>
      </c>
      <c r="L74" s="145" t="s">
        <v>29</v>
      </c>
      <c r="M74" s="145">
        <v>46.0</v>
      </c>
      <c r="N74" s="145">
        <v>203.0</v>
      </c>
      <c r="O74" s="145">
        <v>45.0</v>
      </c>
      <c r="P74" s="145">
        <v>192.0</v>
      </c>
      <c r="Q74" s="145">
        <v>8.0</v>
      </c>
      <c r="R74" s="145">
        <v>0.0</v>
      </c>
      <c r="S74" s="145">
        <v>0.0</v>
      </c>
      <c r="T74" s="147" t="s">
        <v>143</v>
      </c>
      <c r="U74" s="164" t="s">
        <v>565</v>
      </c>
      <c r="V74" s="149" t="s">
        <v>551</v>
      </c>
      <c r="W74" s="148" t="s">
        <v>564</v>
      </c>
      <c r="X74" s="147" t="s">
        <v>668</v>
      </c>
      <c r="Y74" s="147" t="s">
        <v>567</v>
      </c>
      <c r="Z74" s="147" t="s">
        <v>27</v>
      </c>
      <c r="AA74" s="147" t="s">
        <v>557</v>
      </c>
      <c r="AB74" s="147" t="s">
        <v>11</v>
      </c>
      <c r="AC74" s="147" t="s">
        <v>669</v>
      </c>
    </row>
    <row r="75" ht="15.75" customHeight="1">
      <c r="A75" s="141">
        <v>173.0</v>
      </c>
      <c r="B75" s="142" t="s">
        <v>27</v>
      </c>
      <c r="C75" s="143" t="str">
        <f>HYPERLINK("https://azurlane.koumakan.jp/Wakaba","Wakaba")</f>
        <v>Wakaba</v>
      </c>
      <c r="D75" s="142" t="s">
        <v>36</v>
      </c>
      <c r="E75" s="145">
        <v>1816.0</v>
      </c>
      <c r="F75" s="145">
        <v>60.0</v>
      </c>
      <c r="G75" s="145">
        <v>484.0</v>
      </c>
      <c r="H75" s="145">
        <v>0.0</v>
      </c>
      <c r="I75" s="145">
        <v>148.0</v>
      </c>
      <c r="J75" s="145">
        <v>199.0</v>
      </c>
      <c r="K75" s="145">
        <v>248.0</v>
      </c>
      <c r="L75" s="145" t="s">
        <v>29</v>
      </c>
      <c r="M75" s="145">
        <v>43.0</v>
      </c>
      <c r="N75" s="145">
        <v>203.0</v>
      </c>
      <c r="O75" s="145">
        <v>36.0</v>
      </c>
      <c r="P75" s="145">
        <v>192.0</v>
      </c>
      <c r="Q75" s="145">
        <v>8.0</v>
      </c>
      <c r="R75" s="145">
        <v>0.0</v>
      </c>
      <c r="S75" s="145">
        <v>0.0</v>
      </c>
      <c r="T75" s="147" t="s">
        <v>143</v>
      </c>
      <c r="U75" s="164" t="s">
        <v>565</v>
      </c>
      <c r="V75" s="149" t="s">
        <v>551</v>
      </c>
      <c r="W75" s="149" t="s">
        <v>551</v>
      </c>
      <c r="X75" s="179" t="s">
        <v>668</v>
      </c>
      <c r="Y75" s="162" t="s">
        <v>567</v>
      </c>
      <c r="Z75" s="147" t="s">
        <v>27</v>
      </c>
      <c r="AA75" s="147" t="s">
        <v>557</v>
      </c>
      <c r="AB75" s="147" t="s">
        <v>11</v>
      </c>
      <c r="AC75" s="147" t="s">
        <v>645</v>
      </c>
    </row>
    <row r="76" ht="15.75" customHeight="1">
      <c r="A76" s="141">
        <v>174.0</v>
      </c>
      <c r="B76" s="142" t="s">
        <v>27</v>
      </c>
      <c r="C76" s="143" t="str">
        <f>HYPERLINK("https://azurlane.koumakan.jp/Hatsushimo","Hatsushimo")</f>
        <v>Hatsushimo</v>
      </c>
      <c r="D76" s="142" t="s">
        <v>36</v>
      </c>
      <c r="E76" s="145">
        <v>1816.0</v>
      </c>
      <c r="F76" s="145">
        <v>60.0</v>
      </c>
      <c r="G76" s="145">
        <v>484.0</v>
      </c>
      <c r="H76" s="145">
        <v>0.0</v>
      </c>
      <c r="I76" s="145">
        <v>148.0</v>
      </c>
      <c r="J76" s="145">
        <v>199.0</v>
      </c>
      <c r="K76" s="145">
        <v>248.0</v>
      </c>
      <c r="L76" s="145" t="s">
        <v>29</v>
      </c>
      <c r="M76" s="145">
        <v>43.0</v>
      </c>
      <c r="N76" s="145">
        <v>203.0</v>
      </c>
      <c r="O76" s="145">
        <v>51.0</v>
      </c>
      <c r="P76" s="145">
        <v>192.0</v>
      </c>
      <c r="Q76" s="145">
        <v>8.0</v>
      </c>
      <c r="R76" s="145">
        <v>0.0</v>
      </c>
      <c r="S76" s="145">
        <v>0.0</v>
      </c>
      <c r="T76" s="147" t="s">
        <v>143</v>
      </c>
      <c r="U76" s="164" t="s">
        <v>565</v>
      </c>
      <c r="V76" s="149" t="s">
        <v>551</v>
      </c>
      <c r="W76" s="149" t="s">
        <v>551</v>
      </c>
      <c r="X76" s="147" t="s">
        <v>668</v>
      </c>
      <c r="Y76" s="147" t="s">
        <v>567</v>
      </c>
      <c r="Z76" s="147" t="s">
        <v>27</v>
      </c>
      <c r="AA76" s="147" t="s">
        <v>557</v>
      </c>
      <c r="AB76" s="147" t="s">
        <v>11</v>
      </c>
      <c r="AC76" s="147" t="s">
        <v>645</v>
      </c>
    </row>
    <row r="77" ht="15.75" customHeight="1">
      <c r="A77" s="141">
        <v>174.1</v>
      </c>
      <c r="B77" s="142" t="s">
        <v>27</v>
      </c>
      <c r="C77" s="143" t="s">
        <v>157</v>
      </c>
      <c r="D77" s="142" t="s">
        <v>28</v>
      </c>
      <c r="E77" s="145">
        <v>1981.0</v>
      </c>
      <c r="F77" s="145">
        <v>60.0</v>
      </c>
      <c r="G77" s="145">
        <v>524.0</v>
      </c>
      <c r="H77" s="145">
        <v>0.0</v>
      </c>
      <c r="I77" s="145">
        <v>178.0</v>
      </c>
      <c r="J77" s="145">
        <v>199.0</v>
      </c>
      <c r="K77" s="145">
        <v>268.0</v>
      </c>
      <c r="L77" s="145" t="s">
        <v>29</v>
      </c>
      <c r="M77" s="145">
        <v>46.0</v>
      </c>
      <c r="N77" s="145">
        <v>203.0</v>
      </c>
      <c r="O77" s="145">
        <v>51.0</v>
      </c>
      <c r="P77" s="145">
        <v>192.0</v>
      </c>
      <c r="Q77" s="145">
        <v>8.0</v>
      </c>
      <c r="R77" s="145">
        <v>0.0</v>
      </c>
      <c r="S77" s="145">
        <v>0.0</v>
      </c>
      <c r="T77" s="147" t="s">
        <v>143</v>
      </c>
      <c r="U77" s="164" t="s">
        <v>565</v>
      </c>
      <c r="V77" s="149" t="s">
        <v>551</v>
      </c>
      <c r="W77" s="161" t="s">
        <v>613</v>
      </c>
      <c r="X77" s="147" t="s">
        <v>668</v>
      </c>
      <c r="Y77" s="147" t="s">
        <v>567</v>
      </c>
      <c r="Z77" s="147" t="s">
        <v>27</v>
      </c>
      <c r="AA77" s="147" t="s">
        <v>557</v>
      </c>
      <c r="AB77" s="147" t="s">
        <v>11</v>
      </c>
      <c r="AC77" s="147" t="s">
        <v>669</v>
      </c>
    </row>
    <row r="78" ht="15.75" customHeight="1">
      <c r="A78" s="141">
        <v>175.0</v>
      </c>
      <c r="B78" s="142" t="s">
        <v>27</v>
      </c>
      <c r="C78" s="143" t="str">
        <f>HYPERLINK("https://azurlane.koumakan.jp/Ariake","Ariake")</f>
        <v>Ariake</v>
      </c>
      <c r="D78" s="142" t="s">
        <v>36</v>
      </c>
      <c r="E78" s="145">
        <v>1816.0</v>
      </c>
      <c r="F78" s="145">
        <v>60.0</v>
      </c>
      <c r="G78" s="145">
        <v>484.0</v>
      </c>
      <c r="H78" s="145">
        <v>0.0</v>
      </c>
      <c r="I78" s="145">
        <v>148.0</v>
      </c>
      <c r="J78" s="145">
        <v>199.0</v>
      </c>
      <c r="K78" s="145">
        <v>248.0</v>
      </c>
      <c r="L78" s="145" t="s">
        <v>29</v>
      </c>
      <c r="M78" s="145">
        <v>43.0</v>
      </c>
      <c r="N78" s="145">
        <v>203.0</v>
      </c>
      <c r="O78" s="145">
        <v>34.0</v>
      </c>
      <c r="P78" s="145">
        <v>192.0</v>
      </c>
      <c r="Q78" s="145">
        <v>8.0</v>
      </c>
      <c r="R78" s="145">
        <v>0.0</v>
      </c>
      <c r="S78" s="145">
        <v>0.0</v>
      </c>
      <c r="T78" s="147" t="s">
        <v>143</v>
      </c>
      <c r="U78" s="164" t="s">
        <v>565</v>
      </c>
      <c r="V78" s="149" t="s">
        <v>551</v>
      </c>
      <c r="W78" s="149" t="s">
        <v>551</v>
      </c>
      <c r="X78" s="147" t="s">
        <v>668</v>
      </c>
      <c r="Y78" s="147" t="s">
        <v>567</v>
      </c>
      <c r="Z78" s="147" t="s">
        <v>27</v>
      </c>
      <c r="AA78" s="147" t="s">
        <v>557</v>
      </c>
      <c r="AB78" s="147" t="s">
        <v>11</v>
      </c>
      <c r="AC78" s="147" t="s">
        <v>645</v>
      </c>
    </row>
    <row r="79" ht="15.75" customHeight="1">
      <c r="A79" s="141">
        <v>175.1</v>
      </c>
      <c r="B79" s="142" t="s">
        <v>27</v>
      </c>
      <c r="C79" s="143" t="s">
        <v>158</v>
      </c>
      <c r="D79" s="142" t="s">
        <v>28</v>
      </c>
      <c r="E79" s="145">
        <v>1981.0</v>
      </c>
      <c r="F79" s="145">
        <v>60.0</v>
      </c>
      <c r="G79" s="145">
        <v>524.0</v>
      </c>
      <c r="H79" s="145">
        <v>0.0</v>
      </c>
      <c r="I79" s="145">
        <v>178.0</v>
      </c>
      <c r="J79" s="145">
        <v>199.0</v>
      </c>
      <c r="K79" s="145">
        <v>268.0</v>
      </c>
      <c r="L79" s="145" t="s">
        <v>29</v>
      </c>
      <c r="M79" s="145">
        <v>46.0</v>
      </c>
      <c r="N79" s="145">
        <v>203.0</v>
      </c>
      <c r="O79" s="145">
        <v>34.0</v>
      </c>
      <c r="P79" s="145">
        <v>192.0</v>
      </c>
      <c r="Q79" s="145">
        <v>8.0</v>
      </c>
      <c r="R79" s="145">
        <v>0.0</v>
      </c>
      <c r="S79" s="145">
        <v>0.0</v>
      </c>
      <c r="T79" s="147" t="s">
        <v>143</v>
      </c>
      <c r="U79" s="164" t="s">
        <v>565</v>
      </c>
      <c r="V79" s="149" t="s">
        <v>551</v>
      </c>
      <c r="W79" s="148" t="s">
        <v>577</v>
      </c>
      <c r="X79" s="147" t="s">
        <v>668</v>
      </c>
      <c r="Y79" s="147" t="s">
        <v>567</v>
      </c>
      <c r="Z79" s="147" t="s">
        <v>27</v>
      </c>
      <c r="AA79" s="147" t="s">
        <v>557</v>
      </c>
      <c r="AB79" s="147" t="s">
        <v>11</v>
      </c>
      <c r="AC79" s="147" t="s">
        <v>669</v>
      </c>
    </row>
    <row r="80" ht="15.75" customHeight="1">
      <c r="A80" s="141">
        <v>176.0</v>
      </c>
      <c r="B80" s="142" t="s">
        <v>27</v>
      </c>
      <c r="C80" s="143" t="str">
        <f>HYPERLINK("https://azurlane.koumakan.jp/Yuugure","Yuugure")</f>
        <v>Yuugure</v>
      </c>
      <c r="D80" s="142" t="s">
        <v>36</v>
      </c>
      <c r="E80" s="145">
        <v>1659.0</v>
      </c>
      <c r="F80" s="145">
        <v>60.0</v>
      </c>
      <c r="G80" s="145">
        <v>484.0</v>
      </c>
      <c r="H80" s="145">
        <v>0.0</v>
      </c>
      <c r="I80" s="145">
        <v>148.0</v>
      </c>
      <c r="J80" s="145">
        <v>199.0</v>
      </c>
      <c r="K80" s="145">
        <v>250.0</v>
      </c>
      <c r="L80" s="145" t="s">
        <v>29</v>
      </c>
      <c r="M80" s="145">
        <v>44.0</v>
      </c>
      <c r="N80" s="145">
        <v>203.0</v>
      </c>
      <c r="O80" s="145">
        <v>32.0</v>
      </c>
      <c r="P80" s="145">
        <v>192.0</v>
      </c>
      <c r="Q80" s="145">
        <v>8.0</v>
      </c>
      <c r="R80" s="145">
        <v>0.0</v>
      </c>
      <c r="S80" s="145">
        <v>0.0</v>
      </c>
      <c r="T80" s="147" t="s">
        <v>143</v>
      </c>
      <c r="U80" s="161" t="s">
        <v>602</v>
      </c>
      <c r="V80" s="149" t="s">
        <v>551</v>
      </c>
      <c r="W80" s="149" t="s">
        <v>551</v>
      </c>
      <c r="X80" s="147" t="s">
        <v>668</v>
      </c>
      <c r="Y80" s="147" t="s">
        <v>567</v>
      </c>
      <c r="Z80" s="147" t="s">
        <v>27</v>
      </c>
      <c r="AA80" s="147" t="s">
        <v>557</v>
      </c>
      <c r="AB80" s="147" t="s">
        <v>11</v>
      </c>
      <c r="AC80" s="147" t="s">
        <v>645</v>
      </c>
    </row>
    <row r="81" ht="15.75" customHeight="1">
      <c r="A81" s="177">
        <v>176.1</v>
      </c>
      <c r="B81" s="142" t="s">
        <v>27</v>
      </c>
      <c r="C81" s="143" t="str">
        <f>HYPERLINK("https://azurlane.koumakan.jp/Yuugure#Retrofit","Yuugure (R)")</f>
        <v>Yuugure (R)</v>
      </c>
      <c r="D81" s="158" t="s">
        <v>28</v>
      </c>
      <c r="E81" s="145">
        <v>1824.0</v>
      </c>
      <c r="F81" s="145">
        <v>60.0</v>
      </c>
      <c r="G81" s="145">
        <v>524.0</v>
      </c>
      <c r="H81" s="145">
        <v>0.0</v>
      </c>
      <c r="I81" s="145">
        <v>178.0</v>
      </c>
      <c r="J81" s="145">
        <v>199.0</v>
      </c>
      <c r="K81" s="145">
        <v>270.0</v>
      </c>
      <c r="L81" s="145" t="s">
        <v>29</v>
      </c>
      <c r="M81" s="145">
        <v>47.0</v>
      </c>
      <c r="N81" s="145">
        <v>203.0</v>
      </c>
      <c r="O81" s="145">
        <v>32.0</v>
      </c>
      <c r="P81" s="145">
        <v>192.0</v>
      </c>
      <c r="Q81" s="145">
        <v>8.0</v>
      </c>
      <c r="R81" s="145">
        <v>0.0</v>
      </c>
      <c r="S81" s="145">
        <v>0.0</v>
      </c>
      <c r="T81" s="147" t="s">
        <v>143</v>
      </c>
      <c r="U81" s="161" t="s">
        <v>602</v>
      </c>
      <c r="V81" s="149" t="s">
        <v>551</v>
      </c>
      <c r="W81" s="148" t="s">
        <v>577</v>
      </c>
      <c r="X81" s="153" t="s">
        <v>668</v>
      </c>
      <c r="Y81" s="153" t="s">
        <v>567</v>
      </c>
      <c r="Z81" s="147" t="s">
        <v>27</v>
      </c>
      <c r="AA81" s="147" t="s">
        <v>557</v>
      </c>
      <c r="AB81" s="147" t="s">
        <v>11</v>
      </c>
      <c r="AC81" s="178" t="s">
        <v>669</v>
      </c>
    </row>
    <row r="82" ht="15.75" customHeight="1">
      <c r="A82" s="141">
        <v>177.0</v>
      </c>
      <c r="B82" s="142" t="s">
        <v>27</v>
      </c>
      <c r="C82" s="143" t="str">
        <f>HYPERLINK("https://azurlane.koumakan.jp/Kuroshio","Kuroshio")</f>
        <v>Kuroshio</v>
      </c>
      <c r="D82" s="142" t="s">
        <v>36</v>
      </c>
      <c r="E82" s="145">
        <v>2133.0</v>
      </c>
      <c r="F82" s="145">
        <v>66.0</v>
      </c>
      <c r="G82" s="145">
        <v>518.0</v>
      </c>
      <c r="H82" s="145">
        <v>0.0</v>
      </c>
      <c r="I82" s="145">
        <v>153.0</v>
      </c>
      <c r="J82" s="145">
        <v>204.0</v>
      </c>
      <c r="K82" s="145">
        <v>246.0</v>
      </c>
      <c r="L82" s="145" t="s">
        <v>29</v>
      </c>
      <c r="M82" s="145">
        <v>42.0</v>
      </c>
      <c r="N82" s="145">
        <v>207.0</v>
      </c>
      <c r="O82" s="145">
        <v>34.0</v>
      </c>
      <c r="P82" s="145">
        <v>192.0</v>
      </c>
      <c r="Q82" s="145">
        <v>8.0</v>
      </c>
      <c r="R82" s="145">
        <v>0.0</v>
      </c>
      <c r="S82" s="145">
        <v>0.0</v>
      </c>
      <c r="T82" s="147" t="s">
        <v>143</v>
      </c>
      <c r="U82" s="164" t="s">
        <v>575</v>
      </c>
      <c r="V82" s="164" t="s">
        <v>565</v>
      </c>
      <c r="W82" s="149" t="s">
        <v>551</v>
      </c>
      <c r="X82" s="147" t="s">
        <v>664</v>
      </c>
      <c r="Y82" s="147" t="s">
        <v>567</v>
      </c>
      <c r="Z82" s="147" t="s">
        <v>27</v>
      </c>
      <c r="AA82" s="147" t="s">
        <v>557</v>
      </c>
      <c r="AB82" s="147" t="s">
        <v>11</v>
      </c>
      <c r="AC82" s="147" t="s">
        <v>645</v>
      </c>
    </row>
    <row r="83" ht="15.75" customHeight="1">
      <c r="A83" s="141">
        <v>178.0</v>
      </c>
      <c r="B83" s="142" t="s">
        <v>27</v>
      </c>
      <c r="C83" s="143" t="str">
        <f>HYPERLINK("https://azurlane.koumakan.jp/Oyashio","Oyashio")</f>
        <v>Oyashio</v>
      </c>
      <c r="D83" s="142" t="s">
        <v>36</v>
      </c>
      <c r="E83" s="145">
        <v>2133.0</v>
      </c>
      <c r="F83" s="145">
        <v>66.0</v>
      </c>
      <c r="G83" s="145">
        <v>518.0</v>
      </c>
      <c r="H83" s="145">
        <v>0.0</v>
      </c>
      <c r="I83" s="145">
        <v>153.0</v>
      </c>
      <c r="J83" s="145">
        <v>204.0</v>
      </c>
      <c r="K83" s="145">
        <v>246.0</v>
      </c>
      <c r="L83" s="145" t="s">
        <v>29</v>
      </c>
      <c r="M83" s="145">
        <v>42.0</v>
      </c>
      <c r="N83" s="145">
        <v>207.0</v>
      </c>
      <c r="O83" s="145">
        <v>34.0</v>
      </c>
      <c r="P83" s="145">
        <v>192.0</v>
      </c>
      <c r="Q83" s="145">
        <v>8.0</v>
      </c>
      <c r="R83" s="145">
        <v>0.0</v>
      </c>
      <c r="S83" s="145">
        <v>0.0</v>
      </c>
      <c r="T83" s="147" t="s">
        <v>143</v>
      </c>
      <c r="U83" s="164" t="s">
        <v>575</v>
      </c>
      <c r="V83" s="164" t="s">
        <v>565</v>
      </c>
      <c r="W83" s="149" t="s">
        <v>551</v>
      </c>
      <c r="X83" s="147" t="s">
        <v>664</v>
      </c>
      <c r="Y83" s="147" t="s">
        <v>567</v>
      </c>
      <c r="Z83" s="147" t="s">
        <v>27</v>
      </c>
      <c r="AA83" s="147" t="s">
        <v>557</v>
      </c>
      <c r="AB83" s="147" t="s">
        <v>11</v>
      </c>
      <c r="AC83" s="147" t="s">
        <v>645</v>
      </c>
    </row>
    <row r="84" ht="15.75" customHeight="1">
      <c r="A84" s="141">
        <v>233.0</v>
      </c>
      <c r="B84" s="142" t="s">
        <v>27</v>
      </c>
      <c r="C84" s="143" t="str">
        <f>HYPERLINK("https://azurlane.koumakan.jp/Z1","Z1")</f>
        <v>Z1</v>
      </c>
      <c r="D84" s="142" t="s">
        <v>28</v>
      </c>
      <c r="E84" s="145">
        <v>2102.0</v>
      </c>
      <c r="F84" s="145">
        <v>66.0</v>
      </c>
      <c r="G84" s="145">
        <v>455.0</v>
      </c>
      <c r="H84" s="145">
        <v>0.0</v>
      </c>
      <c r="I84" s="145">
        <v>157.0</v>
      </c>
      <c r="J84" s="145">
        <v>210.0</v>
      </c>
      <c r="K84" s="145">
        <v>192.0</v>
      </c>
      <c r="L84" s="145" t="s">
        <v>29</v>
      </c>
      <c r="M84" s="145">
        <v>41.0</v>
      </c>
      <c r="N84" s="145">
        <v>194.0</v>
      </c>
      <c r="O84" s="145">
        <v>40.0</v>
      </c>
      <c r="P84" s="145">
        <v>200.0</v>
      </c>
      <c r="Q84" s="145">
        <v>9.0</v>
      </c>
      <c r="R84" s="145">
        <v>0.0</v>
      </c>
      <c r="S84" s="145">
        <v>0.0</v>
      </c>
      <c r="T84" s="147" t="s">
        <v>193</v>
      </c>
      <c r="U84" s="148" t="s">
        <v>670</v>
      </c>
      <c r="V84" s="149" t="s">
        <v>551</v>
      </c>
      <c r="W84" s="149" t="s">
        <v>551</v>
      </c>
      <c r="X84" s="147" t="s">
        <v>671</v>
      </c>
      <c r="Y84" s="147" t="s">
        <v>567</v>
      </c>
      <c r="Z84" s="147" t="s">
        <v>27</v>
      </c>
      <c r="AA84" s="147" t="s">
        <v>557</v>
      </c>
      <c r="AB84" s="147" t="s">
        <v>11</v>
      </c>
      <c r="AC84" s="147" t="s">
        <v>672</v>
      </c>
    </row>
    <row r="85" ht="15.75" customHeight="1">
      <c r="A85" s="141">
        <v>233.1</v>
      </c>
      <c r="B85" s="142" t="s">
        <v>27</v>
      </c>
      <c r="C85" s="143" t="str">
        <f>HYPERLINK("https://azurlane.koumakan.jp/Z1#Retrofit","Z1 (R)")</f>
        <v>Z1 (R)</v>
      </c>
      <c r="D85" s="142" t="s">
        <v>32</v>
      </c>
      <c r="E85" s="145">
        <v>2267.0</v>
      </c>
      <c r="F85" s="145">
        <v>86.0</v>
      </c>
      <c r="G85" s="145">
        <v>495.0</v>
      </c>
      <c r="H85" s="145">
        <v>0.0</v>
      </c>
      <c r="I85" s="145">
        <v>232.0</v>
      </c>
      <c r="J85" s="145">
        <v>210.0</v>
      </c>
      <c r="K85" s="145">
        <v>197.0</v>
      </c>
      <c r="L85" s="145" t="s">
        <v>29</v>
      </c>
      <c r="M85" s="145">
        <v>41.0</v>
      </c>
      <c r="N85" s="145">
        <v>194.0</v>
      </c>
      <c r="O85" s="145">
        <v>40.0</v>
      </c>
      <c r="P85" s="145">
        <v>210.0</v>
      </c>
      <c r="Q85" s="145">
        <v>9.0</v>
      </c>
      <c r="R85" s="145">
        <v>0.0</v>
      </c>
      <c r="S85" s="145">
        <v>0.0</v>
      </c>
      <c r="T85" s="147" t="s">
        <v>193</v>
      </c>
      <c r="U85" s="148" t="s">
        <v>670</v>
      </c>
      <c r="V85" s="149" t="s">
        <v>551</v>
      </c>
      <c r="W85" s="164" t="s">
        <v>673</v>
      </c>
      <c r="X85" s="147" t="s">
        <v>671</v>
      </c>
      <c r="Y85" s="147" t="s">
        <v>567</v>
      </c>
      <c r="Z85" s="147" t="s">
        <v>27</v>
      </c>
      <c r="AA85" s="147" t="s">
        <v>557</v>
      </c>
      <c r="AB85" s="147" t="s">
        <v>11</v>
      </c>
      <c r="AC85" s="147" t="s">
        <v>674</v>
      </c>
    </row>
    <row r="86" ht="15.75" customHeight="1">
      <c r="A86" s="141">
        <v>236.0</v>
      </c>
      <c r="B86" s="142" t="s">
        <v>27</v>
      </c>
      <c r="C86" s="143" t="str">
        <f>HYPERLINK("https://azurlane.koumakan.jp/Z23","Z23")</f>
        <v>Z23</v>
      </c>
      <c r="D86" s="142" t="s">
        <v>28</v>
      </c>
      <c r="E86" s="145">
        <v>2177.0</v>
      </c>
      <c r="F86" s="145">
        <v>122.0</v>
      </c>
      <c r="G86" s="145">
        <v>331.0</v>
      </c>
      <c r="H86" s="145">
        <v>0.0</v>
      </c>
      <c r="I86" s="145">
        <v>153.0</v>
      </c>
      <c r="J86" s="145">
        <v>202.0</v>
      </c>
      <c r="K86" s="145">
        <v>203.0</v>
      </c>
      <c r="L86" s="145" t="s">
        <v>29</v>
      </c>
      <c r="M86" s="145">
        <v>42.0</v>
      </c>
      <c r="N86" s="145">
        <v>197.0</v>
      </c>
      <c r="O86" s="145">
        <v>65.0</v>
      </c>
      <c r="P86" s="145">
        <v>204.0</v>
      </c>
      <c r="Q86" s="145">
        <v>9.0</v>
      </c>
      <c r="R86" s="145">
        <v>0.0</v>
      </c>
      <c r="S86" s="145">
        <v>0.0</v>
      </c>
      <c r="T86" s="147" t="s">
        <v>193</v>
      </c>
      <c r="U86" s="164" t="s">
        <v>675</v>
      </c>
      <c r="V86" s="149" t="s">
        <v>551</v>
      </c>
      <c r="W86" s="149" t="s">
        <v>551</v>
      </c>
      <c r="X86" s="147" t="s">
        <v>676</v>
      </c>
      <c r="Y86" s="147" t="s">
        <v>561</v>
      </c>
      <c r="Z86" s="147" t="s">
        <v>677</v>
      </c>
      <c r="AA86" s="147" t="s">
        <v>557</v>
      </c>
      <c r="AB86" s="147" t="s">
        <v>11</v>
      </c>
      <c r="AC86" s="147" t="s">
        <v>678</v>
      </c>
    </row>
    <row r="87" ht="15.75" customHeight="1">
      <c r="A87" s="141">
        <v>236.1</v>
      </c>
      <c r="B87" s="142" t="s">
        <v>27</v>
      </c>
      <c r="C87" s="143" t="str">
        <f>HYPERLINK("https://azurlane.koumakan.jp/Z23#Retrofit","Z23 (R)")</f>
        <v>Z23 (R)</v>
      </c>
      <c r="D87" s="142" t="s">
        <v>32</v>
      </c>
      <c r="E87" s="158">
        <v>2342.0</v>
      </c>
      <c r="F87" s="145">
        <v>172.0</v>
      </c>
      <c r="G87" s="145">
        <v>351.0</v>
      </c>
      <c r="H87" s="145">
        <v>0.0</v>
      </c>
      <c r="I87" s="145">
        <v>218.0</v>
      </c>
      <c r="J87" s="145">
        <v>202.0</v>
      </c>
      <c r="K87" s="145">
        <v>208.0</v>
      </c>
      <c r="L87" s="145" t="s">
        <v>29</v>
      </c>
      <c r="M87" s="145">
        <v>42.0</v>
      </c>
      <c r="N87" s="145">
        <v>197.0</v>
      </c>
      <c r="O87" s="169">
        <v>65.0</v>
      </c>
      <c r="P87" s="145">
        <v>224.0</v>
      </c>
      <c r="Q87" s="145">
        <v>9.0</v>
      </c>
      <c r="R87" s="145">
        <v>0.0</v>
      </c>
      <c r="S87" s="145">
        <v>0.0</v>
      </c>
      <c r="T87" s="147" t="s">
        <v>193</v>
      </c>
      <c r="U87" s="164" t="s">
        <v>675</v>
      </c>
      <c r="V87" s="149" t="s">
        <v>551</v>
      </c>
      <c r="W87" s="164" t="s">
        <v>679</v>
      </c>
      <c r="X87" s="147" t="s">
        <v>676</v>
      </c>
      <c r="Y87" s="147" t="s">
        <v>561</v>
      </c>
      <c r="Z87" s="147" t="s">
        <v>677</v>
      </c>
      <c r="AA87" s="147" t="s">
        <v>557</v>
      </c>
      <c r="AB87" s="147" t="s">
        <v>11</v>
      </c>
      <c r="AC87" s="147" t="s">
        <v>680</v>
      </c>
    </row>
    <row r="88" ht="15.75" customHeight="1">
      <c r="A88" s="141">
        <v>237.0</v>
      </c>
      <c r="B88" s="142" t="s">
        <v>27</v>
      </c>
      <c r="C88" s="143" t="str">
        <f>HYPERLINK("https://azurlane.koumakan.jp/Z25","Z25")</f>
        <v>Z25</v>
      </c>
      <c r="D88" s="142" t="s">
        <v>28</v>
      </c>
      <c r="E88" s="145">
        <v>2167.0</v>
      </c>
      <c r="F88" s="145">
        <v>122.0</v>
      </c>
      <c r="G88" s="145">
        <v>331.0</v>
      </c>
      <c r="H88" s="145">
        <v>0.0</v>
      </c>
      <c r="I88" s="145">
        <v>157.0</v>
      </c>
      <c r="J88" s="145">
        <v>193.0</v>
      </c>
      <c r="K88" s="145">
        <v>201.0</v>
      </c>
      <c r="L88" s="145" t="s">
        <v>29</v>
      </c>
      <c r="M88" s="145">
        <v>43.0</v>
      </c>
      <c r="N88" s="145">
        <v>190.0</v>
      </c>
      <c r="O88" s="145">
        <v>72.0</v>
      </c>
      <c r="P88" s="145">
        <v>204.0</v>
      </c>
      <c r="Q88" s="145">
        <v>9.0</v>
      </c>
      <c r="R88" s="145">
        <v>0.0</v>
      </c>
      <c r="S88" s="145">
        <v>0.0</v>
      </c>
      <c r="T88" s="147" t="s">
        <v>193</v>
      </c>
      <c r="U88" s="164" t="s">
        <v>575</v>
      </c>
      <c r="V88" s="148" t="s">
        <v>589</v>
      </c>
      <c r="W88" s="149" t="s">
        <v>551</v>
      </c>
      <c r="X88" s="147" t="s">
        <v>681</v>
      </c>
      <c r="Y88" s="147" t="s">
        <v>561</v>
      </c>
      <c r="Z88" s="147" t="s">
        <v>677</v>
      </c>
      <c r="AA88" s="147" t="s">
        <v>557</v>
      </c>
      <c r="AB88" s="147" t="s">
        <v>11</v>
      </c>
      <c r="AC88" s="147" t="s">
        <v>678</v>
      </c>
    </row>
    <row r="89" ht="15.75" customHeight="1">
      <c r="A89" s="141">
        <v>253.0</v>
      </c>
      <c r="B89" s="142" t="s">
        <v>27</v>
      </c>
      <c r="C89" s="143" t="str">
        <f>HYPERLINK("https://azurlane.koumakan.jp/An_Shan","An Shan")</f>
        <v>An Shan</v>
      </c>
      <c r="D89" s="142" t="s">
        <v>28</v>
      </c>
      <c r="E89" s="145">
        <v>2332.0</v>
      </c>
      <c r="F89" s="145">
        <v>132.0</v>
      </c>
      <c r="G89" s="145">
        <v>231.0</v>
      </c>
      <c r="H89" s="145">
        <v>0.0</v>
      </c>
      <c r="I89" s="145">
        <v>175.0</v>
      </c>
      <c r="J89" s="145">
        <v>204.0</v>
      </c>
      <c r="K89" s="145">
        <v>213.0</v>
      </c>
      <c r="L89" s="145" t="s">
        <v>29</v>
      </c>
      <c r="M89" s="145">
        <v>45.0</v>
      </c>
      <c r="N89" s="145">
        <v>212.0</v>
      </c>
      <c r="O89" s="145">
        <v>81.0</v>
      </c>
      <c r="P89" s="145">
        <v>203.0</v>
      </c>
      <c r="Q89" s="145">
        <v>9.0</v>
      </c>
      <c r="R89" s="145">
        <v>0.0</v>
      </c>
      <c r="S89" s="145">
        <v>0.0</v>
      </c>
      <c r="T89" s="147" t="s">
        <v>206</v>
      </c>
      <c r="U89" s="148" t="s">
        <v>682</v>
      </c>
      <c r="V89" s="149" t="s">
        <v>551</v>
      </c>
      <c r="W89" s="149" t="s">
        <v>551</v>
      </c>
      <c r="X89" s="147" t="s">
        <v>683</v>
      </c>
      <c r="Y89" s="147" t="s">
        <v>561</v>
      </c>
      <c r="Z89" s="147" t="s">
        <v>27</v>
      </c>
      <c r="AA89" s="147" t="s">
        <v>557</v>
      </c>
      <c r="AB89" s="147" t="s">
        <v>11</v>
      </c>
      <c r="AC89" s="147" t="s">
        <v>684</v>
      </c>
    </row>
    <row r="90" ht="15.75" customHeight="1">
      <c r="A90" s="141">
        <v>254.0</v>
      </c>
      <c r="B90" s="142" t="s">
        <v>27</v>
      </c>
      <c r="C90" s="143" t="str">
        <f>HYPERLINK("https://azurlane.koumakan.jp/Fu_Shun","Fu Shun")</f>
        <v>Fu Shun</v>
      </c>
      <c r="D90" s="142" t="s">
        <v>28</v>
      </c>
      <c r="E90" s="145">
        <v>2332.0</v>
      </c>
      <c r="F90" s="145">
        <v>130.0</v>
      </c>
      <c r="G90" s="145">
        <v>234.0</v>
      </c>
      <c r="H90" s="145">
        <v>0.0</v>
      </c>
      <c r="I90" s="145">
        <v>177.0</v>
      </c>
      <c r="J90" s="145">
        <v>204.0</v>
      </c>
      <c r="K90" s="145">
        <v>213.0</v>
      </c>
      <c r="L90" s="145" t="s">
        <v>29</v>
      </c>
      <c r="M90" s="145">
        <v>45.0</v>
      </c>
      <c r="N90" s="145">
        <v>209.0</v>
      </c>
      <c r="O90" s="145">
        <v>51.0</v>
      </c>
      <c r="P90" s="145">
        <v>203.0</v>
      </c>
      <c r="Q90" s="145">
        <v>9.0</v>
      </c>
      <c r="R90" s="145">
        <v>0.0</v>
      </c>
      <c r="S90" s="145">
        <v>0.0</v>
      </c>
      <c r="T90" s="147" t="s">
        <v>206</v>
      </c>
      <c r="U90" s="164" t="s">
        <v>685</v>
      </c>
      <c r="V90" s="149" t="s">
        <v>551</v>
      </c>
      <c r="W90" s="149" t="s">
        <v>551</v>
      </c>
      <c r="X90" s="147" t="s">
        <v>683</v>
      </c>
      <c r="Y90" s="147" t="s">
        <v>561</v>
      </c>
      <c r="Z90" s="147" t="s">
        <v>27</v>
      </c>
      <c r="AA90" s="147" t="s">
        <v>557</v>
      </c>
      <c r="AB90" s="147" t="s">
        <v>11</v>
      </c>
      <c r="AC90" s="147" t="s">
        <v>684</v>
      </c>
    </row>
    <row r="91" ht="15.75" customHeight="1">
      <c r="A91" s="141">
        <v>255.0</v>
      </c>
      <c r="B91" s="142" t="s">
        <v>27</v>
      </c>
      <c r="C91" s="143" t="str">
        <f>HYPERLINK("https://azurlane.koumakan.jp/Chang_Chun","Chang Chun")</f>
        <v>Chang Chun</v>
      </c>
      <c r="D91" s="142" t="s">
        <v>28</v>
      </c>
      <c r="E91" s="145">
        <v>2332.0</v>
      </c>
      <c r="F91" s="145">
        <v>132.0</v>
      </c>
      <c r="G91" s="145">
        <v>231.0</v>
      </c>
      <c r="H91" s="145">
        <v>0.0</v>
      </c>
      <c r="I91" s="145">
        <v>175.0</v>
      </c>
      <c r="J91" s="145">
        <v>202.0</v>
      </c>
      <c r="K91" s="145">
        <v>213.0</v>
      </c>
      <c r="L91" s="145" t="s">
        <v>29</v>
      </c>
      <c r="M91" s="145">
        <v>45.0</v>
      </c>
      <c r="N91" s="145">
        <v>207.0</v>
      </c>
      <c r="O91" s="145">
        <v>61.0</v>
      </c>
      <c r="P91" s="145">
        <v>203.0</v>
      </c>
      <c r="Q91" s="145">
        <v>9.0</v>
      </c>
      <c r="R91" s="145">
        <v>0.0</v>
      </c>
      <c r="S91" s="145">
        <v>0.0</v>
      </c>
      <c r="T91" s="147" t="s">
        <v>206</v>
      </c>
      <c r="U91" s="148" t="s">
        <v>686</v>
      </c>
      <c r="V91" s="149" t="s">
        <v>551</v>
      </c>
      <c r="W91" s="149" t="s">
        <v>551</v>
      </c>
      <c r="X91" s="147" t="s">
        <v>683</v>
      </c>
      <c r="Y91" s="147" t="s">
        <v>561</v>
      </c>
      <c r="Z91" s="147" t="s">
        <v>27</v>
      </c>
      <c r="AA91" s="147" t="s">
        <v>557</v>
      </c>
      <c r="AB91" s="147" t="s">
        <v>11</v>
      </c>
      <c r="AC91" s="147" t="s">
        <v>684</v>
      </c>
    </row>
    <row r="92" ht="15.75" customHeight="1">
      <c r="A92" s="141">
        <v>256.0</v>
      </c>
      <c r="B92" s="142" t="s">
        <v>27</v>
      </c>
      <c r="C92" s="143" t="str">
        <f>HYPERLINK("https://azurlane.koumakan.jp/Tai_Yuan","Tai Yuan")</f>
        <v>Tai Yuan</v>
      </c>
      <c r="D92" s="142" t="s">
        <v>28</v>
      </c>
      <c r="E92" s="145">
        <v>2332.0</v>
      </c>
      <c r="F92" s="145">
        <v>130.0</v>
      </c>
      <c r="G92" s="145">
        <v>232.0</v>
      </c>
      <c r="H92" s="145">
        <v>0.0</v>
      </c>
      <c r="I92" s="145">
        <v>177.0</v>
      </c>
      <c r="J92" s="145">
        <v>202.0</v>
      </c>
      <c r="K92" s="145">
        <v>213.0</v>
      </c>
      <c r="L92" s="145" t="s">
        <v>29</v>
      </c>
      <c r="M92" s="145">
        <v>45.0</v>
      </c>
      <c r="N92" s="145">
        <v>210.0</v>
      </c>
      <c r="O92" s="145">
        <v>71.0</v>
      </c>
      <c r="P92" s="145">
        <v>203.0</v>
      </c>
      <c r="Q92" s="145">
        <v>9.0</v>
      </c>
      <c r="R92" s="145">
        <v>0.0</v>
      </c>
      <c r="S92" s="145">
        <v>0.0</v>
      </c>
      <c r="T92" s="147" t="s">
        <v>206</v>
      </c>
      <c r="U92" s="148" t="s">
        <v>687</v>
      </c>
      <c r="V92" s="149" t="s">
        <v>551</v>
      </c>
      <c r="W92" s="149" t="s">
        <v>551</v>
      </c>
      <c r="X92" s="147" t="s">
        <v>683</v>
      </c>
      <c r="Y92" s="147" t="s">
        <v>561</v>
      </c>
      <c r="Z92" s="147" t="s">
        <v>27</v>
      </c>
      <c r="AA92" s="147" t="s">
        <v>557</v>
      </c>
      <c r="AB92" s="147" t="s">
        <v>11</v>
      </c>
      <c r="AC92" s="147" t="s">
        <v>684</v>
      </c>
    </row>
    <row r="93" ht="15.75" customHeight="1">
      <c r="A93" s="141">
        <v>263.0</v>
      </c>
      <c r="B93" s="142" t="s">
        <v>27</v>
      </c>
      <c r="C93" s="143" t="str">
        <f>HYPERLINK("https://azurlane.koumakan.jp/Bailey","Bailey")</f>
        <v>Bailey</v>
      </c>
      <c r="D93" s="142" t="s">
        <v>36</v>
      </c>
      <c r="E93" s="145">
        <v>1870.0</v>
      </c>
      <c r="F93" s="145">
        <v>89.0</v>
      </c>
      <c r="G93" s="145">
        <v>324.0</v>
      </c>
      <c r="H93" s="145">
        <v>0.0</v>
      </c>
      <c r="I93" s="145">
        <v>175.0</v>
      </c>
      <c r="J93" s="145">
        <v>207.0</v>
      </c>
      <c r="K93" s="145">
        <v>210.0</v>
      </c>
      <c r="L93" s="145" t="s">
        <v>29</v>
      </c>
      <c r="M93" s="145">
        <v>44.0</v>
      </c>
      <c r="N93" s="145">
        <v>207.0</v>
      </c>
      <c r="O93" s="145">
        <v>70.0</v>
      </c>
      <c r="P93" s="145">
        <v>195.0</v>
      </c>
      <c r="Q93" s="145">
        <v>8.0</v>
      </c>
      <c r="R93" s="145">
        <v>0.0</v>
      </c>
      <c r="S93" s="145">
        <v>0.0</v>
      </c>
      <c r="T93" s="147" t="s">
        <v>37</v>
      </c>
      <c r="U93" s="161" t="s">
        <v>587</v>
      </c>
      <c r="V93" s="149" t="s">
        <v>551</v>
      </c>
      <c r="W93" s="149" t="s">
        <v>551</v>
      </c>
      <c r="X93" s="147" t="s">
        <v>578</v>
      </c>
      <c r="Y93" s="147" t="s">
        <v>561</v>
      </c>
      <c r="Z93" s="147" t="s">
        <v>27</v>
      </c>
      <c r="AA93" s="147" t="s">
        <v>557</v>
      </c>
      <c r="AB93" s="147" t="s">
        <v>11</v>
      </c>
      <c r="AC93" s="147" t="s">
        <v>579</v>
      </c>
    </row>
    <row r="94" ht="15.75" customHeight="1">
      <c r="A94" s="141">
        <v>263.1</v>
      </c>
      <c r="B94" s="142" t="s">
        <v>27</v>
      </c>
      <c r="C94" s="143" t="str">
        <f>HYPERLINK("https://azurlane.koumakan.jp/Bailey#Retrofit","Bailey (R)")</f>
        <v>Bailey (R)</v>
      </c>
      <c r="D94" s="142" t="s">
        <v>28</v>
      </c>
      <c r="E94" s="158">
        <v>2080.0</v>
      </c>
      <c r="F94" s="145">
        <v>104.0</v>
      </c>
      <c r="G94" s="145">
        <v>324.0</v>
      </c>
      <c r="H94" s="145">
        <v>0.0</v>
      </c>
      <c r="I94" s="168">
        <v>265.0</v>
      </c>
      <c r="J94" s="145">
        <v>227.0</v>
      </c>
      <c r="K94" s="145">
        <v>210.0</v>
      </c>
      <c r="L94" s="145" t="s">
        <v>29</v>
      </c>
      <c r="M94" s="145">
        <v>47.0</v>
      </c>
      <c r="N94" s="145">
        <v>207.0</v>
      </c>
      <c r="O94" s="169">
        <v>70.0</v>
      </c>
      <c r="P94" s="145">
        <v>195.0</v>
      </c>
      <c r="Q94" s="145">
        <v>8.0</v>
      </c>
      <c r="R94" s="145">
        <v>0.0</v>
      </c>
      <c r="S94" s="145">
        <v>0.0</v>
      </c>
      <c r="T94" s="147" t="s">
        <v>37</v>
      </c>
      <c r="U94" s="161" t="s">
        <v>587</v>
      </c>
      <c r="V94" s="149" t="s">
        <v>551</v>
      </c>
      <c r="W94" s="148" t="s">
        <v>603</v>
      </c>
      <c r="X94" s="147" t="s">
        <v>578</v>
      </c>
      <c r="Y94" s="147" t="s">
        <v>561</v>
      </c>
      <c r="Z94" s="147" t="s">
        <v>27</v>
      </c>
      <c r="AA94" s="147" t="s">
        <v>557</v>
      </c>
      <c r="AB94" s="147" t="s">
        <v>11</v>
      </c>
      <c r="AC94" s="147" t="s">
        <v>688</v>
      </c>
    </row>
    <row r="95" ht="15.75" customHeight="1">
      <c r="A95" s="141">
        <v>264.0</v>
      </c>
      <c r="B95" s="142" t="s">
        <v>27</v>
      </c>
      <c r="C95" s="143" t="str">
        <f>HYPERLINK("https://azurlane.koumakan.jp/Z19","Z19")</f>
        <v>Z19</v>
      </c>
      <c r="D95" s="142" t="s">
        <v>36</v>
      </c>
      <c r="E95" s="145">
        <v>2082.0</v>
      </c>
      <c r="F95" s="145">
        <v>69.0</v>
      </c>
      <c r="G95" s="145">
        <v>446.0</v>
      </c>
      <c r="H95" s="145">
        <v>0.0</v>
      </c>
      <c r="I95" s="145">
        <v>152.0</v>
      </c>
      <c r="J95" s="145">
        <v>204.0</v>
      </c>
      <c r="K95" s="145">
        <v>192.0</v>
      </c>
      <c r="L95" s="145" t="s">
        <v>29</v>
      </c>
      <c r="M95" s="145">
        <v>43.0</v>
      </c>
      <c r="N95" s="145">
        <v>205.0</v>
      </c>
      <c r="O95" s="145">
        <v>39.0</v>
      </c>
      <c r="P95" s="145">
        <v>195.0</v>
      </c>
      <c r="Q95" s="145">
        <v>8.0</v>
      </c>
      <c r="R95" s="145">
        <v>0.0</v>
      </c>
      <c r="S95" s="145">
        <v>0.0</v>
      </c>
      <c r="T95" s="147" t="s">
        <v>193</v>
      </c>
      <c r="U95" s="164" t="s">
        <v>689</v>
      </c>
      <c r="V95" s="149" t="s">
        <v>551</v>
      </c>
      <c r="W95" s="149" t="s">
        <v>551</v>
      </c>
      <c r="X95" s="147" t="s">
        <v>690</v>
      </c>
      <c r="Y95" s="147" t="s">
        <v>567</v>
      </c>
      <c r="Z95" s="147" t="s">
        <v>27</v>
      </c>
      <c r="AA95" s="147" t="s">
        <v>557</v>
      </c>
      <c r="AB95" s="147" t="s">
        <v>11</v>
      </c>
      <c r="AC95" s="147" t="s">
        <v>691</v>
      </c>
    </row>
    <row r="96" ht="15.75" customHeight="1">
      <c r="A96" s="141">
        <v>265.0</v>
      </c>
      <c r="B96" s="142" t="s">
        <v>27</v>
      </c>
      <c r="C96" s="143" t="str">
        <f>HYPERLINK("https://azurlane.koumakan.jp/Z20","Z20")</f>
        <v>Z20</v>
      </c>
      <c r="D96" s="142" t="s">
        <v>40</v>
      </c>
      <c r="E96" s="145">
        <v>2041.0</v>
      </c>
      <c r="F96" s="145">
        <v>66.0</v>
      </c>
      <c r="G96" s="145">
        <v>438.0</v>
      </c>
      <c r="H96" s="145">
        <v>0.0</v>
      </c>
      <c r="I96" s="145">
        <v>148.0</v>
      </c>
      <c r="J96" s="145">
        <v>199.0</v>
      </c>
      <c r="K96" s="145">
        <v>192.0</v>
      </c>
      <c r="L96" s="145" t="s">
        <v>29</v>
      </c>
      <c r="M96" s="145">
        <v>43.0</v>
      </c>
      <c r="N96" s="145">
        <v>205.0</v>
      </c>
      <c r="O96" s="145">
        <v>71.0</v>
      </c>
      <c r="P96" s="145">
        <v>192.0</v>
      </c>
      <c r="Q96" s="145">
        <v>7.0</v>
      </c>
      <c r="R96" s="145">
        <v>0.0</v>
      </c>
      <c r="S96" s="145">
        <v>0.0</v>
      </c>
      <c r="T96" s="147" t="s">
        <v>193</v>
      </c>
      <c r="U96" s="164" t="s">
        <v>689</v>
      </c>
      <c r="V96" s="149" t="s">
        <v>551</v>
      </c>
      <c r="W96" s="149" t="s">
        <v>551</v>
      </c>
      <c r="X96" s="147" t="s">
        <v>690</v>
      </c>
      <c r="Y96" s="147" t="s">
        <v>567</v>
      </c>
      <c r="Z96" s="147" t="s">
        <v>27</v>
      </c>
      <c r="AA96" s="147" t="s">
        <v>557</v>
      </c>
      <c r="AB96" s="147" t="s">
        <v>11</v>
      </c>
      <c r="AC96" s="147" t="s">
        <v>691</v>
      </c>
    </row>
    <row r="97" ht="15.75" customHeight="1">
      <c r="A97" s="141">
        <v>266.0</v>
      </c>
      <c r="B97" s="142" t="s">
        <v>27</v>
      </c>
      <c r="C97" s="143" t="str">
        <f>HYPERLINK("https://azurlane.koumakan.jp/Z21","Z21")</f>
        <v>Z21</v>
      </c>
      <c r="D97" s="142" t="s">
        <v>40</v>
      </c>
      <c r="E97" s="145">
        <v>2041.0</v>
      </c>
      <c r="F97" s="145">
        <v>66.0</v>
      </c>
      <c r="G97" s="145">
        <v>438.0</v>
      </c>
      <c r="H97" s="145">
        <v>0.0</v>
      </c>
      <c r="I97" s="145">
        <v>148.0</v>
      </c>
      <c r="J97" s="145">
        <v>199.0</v>
      </c>
      <c r="K97" s="145">
        <v>192.0</v>
      </c>
      <c r="L97" s="145" t="s">
        <v>29</v>
      </c>
      <c r="M97" s="145">
        <v>43.0</v>
      </c>
      <c r="N97" s="145">
        <v>205.0</v>
      </c>
      <c r="O97" s="145">
        <v>42.0</v>
      </c>
      <c r="P97" s="145">
        <v>193.0</v>
      </c>
      <c r="Q97" s="145">
        <v>7.0</v>
      </c>
      <c r="R97" s="145">
        <v>0.0</v>
      </c>
      <c r="S97" s="145">
        <v>0.0</v>
      </c>
      <c r="T97" s="147" t="s">
        <v>193</v>
      </c>
      <c r="U97" s="164" t="s">
        <v>689</v>
      </c>
      <c r="V97" s="149" t="s">
        <v>551</v>
      </c>
      <c r="W97" s="149" t="s">
        <v>551</v>
      </c>
      <c r="X97" s="147" t="s">
        <v>690</v>
      </c>
      <c r="Y97" s="147" t="s">
        <v>567</v>
      </c>
      <c r="Z97" s="147" t="s">
        <v>27</v>
      </c>
      <c r="AA97" s="147" t="s">
        <v>557</v>
      </c>
      <c r="AB97" s="147" t="s">
        <v>11</v>
      </c>
      <c r="AC97" s="147" t="s">
        <v>691</v>
      </c>
    </row>
    <row r="98" ht="15.75" customHeight="1">
      <c r="A98" s="141">
        <v>267.0</v>
      </c>
      <c r="B98" s="142" t="s">
        <v>27</v>
      </c>
      <c r="C98" s="143" t="str">
        <f>HYPERLINK("https://azurlane.koumakan.jp/Z46","Z46")</f>
        <v>Z46</v>
      </c>
      <c r="D98" s="142" t="s">
        <v>32</v>
      </c>
      <c r="E98" s="145">
        <v>2657.0</v>
      </c>
      <c r="F98" s="145">
        <v>91.0</v>
      </c>
      <c r="G98" s="145">
        <v>458.0</v>
      </c>
      <c r="H98" s="145">
        <v>0.0</v>
      </c>
      <c r="I98" s="145">
        <v>261.0</v>
      </c>
      <c r="J98" s="145">
        <v>215.0</v>
      </c>
      <c r="K98" s="145">
        <v>194.0</v>
      </c>
      <c r="L98" s="145" t="s">
        <v>29</v>
      </c>
      <c r="M98" s="145">
        <v>43.0</v>
      </c>
      <c r="N98" s="145">
        <v>203.0</v>
      </c>
      <c r="O98" s="145">
        <v>63.0</v>
      </c>
      <c r="P98" s="145">
        <v>213.0</v>
      </c>
      <c r="Q98" s="145">
        <v>10.0</v>
      </c>
      <c r="R98" s="145">
        <v>0.0</v>
      </c>
      <c r="S98" s="145">
        <v>0.0</v>
      </c>
      <c r="T98" s="147" t="s">
        <v>193</v>
      </c>
      <c r="U98" s="164" t="s">
        <v>689</v>
      </c>
      <c r="V98" s="164" t="s">
        <v>692</v>
      </c>
      <c r="W98" s="149" t="s">
        <v>551</v>
      </c>
      <c r="X98" s="147" t="s">
        <v>693</v>
      </c>
      <c r="Y98" s="147" t="s">
        <v>561</v>
      </c>
      <c r="Z98" s="147" t="s">
        <v>27</v>
      </c>
      <c r="AA98" s="147" t="s">
        <v>557</v>
      </c>
      <c r="AB98" s="147" t="s">
        <v>11</v>
      </c>
      <c r="AC98" s="147" t="s">
        <v>694</v>
      </c>
    </row>
    <row r="99" ht="15.75" customHeight="1">
      <c r="A99" s="150">
        <v>268.0</v>
      </c>
      <c r="B99" s="151" t="s">
        <v>27</v>
      </c>
      <c r="C99" s="171" t="s">
        <v>216</v>
      </c>
      <c r="D99" s="153" t="s">
        <v>34</v>
      </c>
      <c r="E99" s="154">
        <v>2420.0</v>
      </c>
      <c r="F99" s="154">
        <v>77.0</v>
      </c>
      <c r="G99" s="180">
        <v>609.0</v>
      </c>
      <c r="H99" s="154">
        <v>0.0</v>
      </c>
      <c r="I99" s="154">
        <v>165.0</v>
      </c>
      <c r="J99" s="154">
        <v>228.0</v>
      </c>
      <c r="K99" s="154">
        <v>293.0</v>
      </c>
      <c r="L99" s="154" t="s">
        <v>29</v>
      </c>
      <c r="M99" s="154">
        <v>48.0</v>
      </c>
      <c r="N99" s="154">
        <v>228.0</v>
      </c>
      <c r="O99" s="154">
        <v>41.0</v>
      </c>
      <c r="P99" s="154">
        <v>213.0</v>
      </c>
      <c r="Q99" s="154">
        <v>12.0</v>
      </c>
      <c r="R99" s="154">
        <v>0.0</v>
      </c>
      <c r="S99" s="154">
        <v>0.0</v>
      </c>
      <c r="T99" s="147" t="s">
        <v>143</v>
      </c>
      <c r="U99" s="173" t="s">
        <v>695</v>
      </c>
      <c r="V99" s="173" t="s">
        <v>696</v>
      </c>
      <c r="W99" s="172" t="s">
        <v>697</v>
      </c>
      <c r="X99" s="153" t="s">
        <v>698</v>
      </c>
      <c r="Y99" s="153" t="s">
        <v>567</v>
      </c>
      <c r="Z99" s="153" t="s">
        <v>27</v>
      </c>
      <c r="AA99" s="153" t="s">
        <v>557</v>
      </c>
      <c r="AB99" s="153" t="s">
        <v>11</v>
      </c>
      <c r="AC99" s="153" t="s">
        <v>699</v>
      </c>
    </row>
    <row r="100" ht="15.75" customHeight="1">
      <c r="A100" s="141">
        <v>269.0</v>
      </c>
      <c r="B100" s="142" t="s">
        <v>27</v>
      </c>
      <c r="C100" s="143" t="str">
        <f>HYPERLINK("https://azurlane.koumakan.jp/Kamikaze","Kamikaze")</f>
        <v>Kamikaze</v>
      </c>
      <c r="D100" s="142" t="s">
        <v>36</v>
      </c>
      <c r="E100" s="145">
        <v>1599.0</v>
      </c>
      <c r="F100" s="145">
        <v>61.0</v>
      </c>
      <c r="G100" s="145">
        <v>409.0</v>
      </c>
      <c r="H100" s="145">
        <v>0.0</v>
      </c>
      <c r="I100" s="145">
        <v>142.0</v>
      </c>
      <c r="J100" s="145">
        <v>212.0</v>
      </c>
      <c r="K100" s="145">
        <v>250.0</v>
      </c>
      <c r="L100" s="145" t="s">
        <v>29</v>
      </c>
      <c r="M100" s="145">
        <v>44.0</v>
      </c>
      <c r="N100" s="145">
        <v>206.0</v>
      </c>
      <c r="O100" s="145">
        <v>86.0</v>
      </c>
      <c r="P100" s="145">
        <v>206.0</v>
      </c>
      <c r="Q100" s="145">
        <v>7.0</v>
      </c>
      <c r="R100" s="145">
        <v>0.0</v>
      </c>
      <c r="S100" s="145">
        <v>0.0</v>
      </c>
      <c r="T100" s="147" t="s">
        <v>143</v>
      </c>
      <c r="U100" s="161" t="s">
        <v>700</v>
      </c>
      <c r="V100" s="149" t="s">
        <v>551</v>
      </c>
      <c r="W100" s="149" t="s">
        <v>551</v>
      </c>
      <c r="X100" s="147" t="s">
        <v>701</v>
      </c>
      <c r="Y100" s="147" t="s">
        <v>556</v>
      </c>
      <c r="Z100" s="147" t="s">
        <v>27</v>
      </c>
      <c r="AA100" s="147" t="s">
        <v>557</v>
      </c>
      <c r="AB100" s="147" t="s">
        <v>11</v>
      </c>
      <c r="AC100" s="147" t="s">
        <v>702</v>
      </c>
    </row>
    <row r="101" ht="15.75" customHeight="1">
      <c r="A101" s="141">
        <v>269.1</v>
      </c>
      <c r="B101" s="142" t="s">
        <v>27</v>
      </c>
      <c r="C101" s="143" t="str">
        <f>HYPERLINK("https://azurlane.koumakan.jp/Kamikaze#Retrofit","Kamikaze (R)")</f>
        <v>Kamikaze (R)</v>
      </c>
      <c r="D101" s="142" t="s">
        <v>28</v>
      </c>
      <c r="E101" s="158">
        <v>1764.0</v>
      </c>
      <c r="F101" s="145">
        <v>61.0</v>
      </c>
      <c r="G101" s="145">
        <v>419.0</v>
      </c>
      <c r="H101" s="145">
        <v>0.0</v>
      </c>
      <c r="I101" s="145">
        <v>182.0</v>
      </c>
      <c r="J101" s="145">
        <v>232.0</v>
      </c>
      <c r="K101" s="145">
        <v>250.0</v>
      </c>
      <c r="L101" s="145" t="s">
        <v>29</v>
      </c>
      <c r="M101" s="145">
        <v>47.0</v>
      </c>
      <c r="N101" s="145">
        <v>216.0</v>
      </c>
      <c r="O101" s="169">
        <v>86.0</v>
      </c>
      <c r="P101" s="145">
        <v>206.0</v>
      </c>
      <c r="Q101" s="145">
        <v>7.0</v>
      </c>
      <c r="R101" s="145">
        <v>0.0</v>
      </c>
      <c r="S101" s="145">
        <v>0.0</v>
      </c>
      <c r="T101" s="147" t="s">
        <v>143</v>
      </c>
      <c r="U101" s="161" t="s">
        <v>700</v>
      </c>
      <c r="V101" s="149" t="s">
        <v>551</v>
      </c>
      <c r="W101" s="164" t="s">
        <v>703</v>
      </c>
      <c r="X101" s="147" t="s">
        <v>701</v>
      </c>
      <c r="Y101" s="147" t="s">
        <v>556</v>
      </c>
      <c r="Z101" s="147" t="s">
        <v>27</v>
      </c>
      <c r="AA101" s="147" t="s">
        <v>557</v>
      </c>
      <c r="AB101" s="147" t="s">
        <v>11</v>
      </c>
      <c r="AC101" s="147" t="s">
        <v>704</v>
      </c>
    </row>
    <row r="102" ht="15.75" customHeight="1">
      <c r="A102" s="141">
        <v>270.0</v>
      </c>
      <c r="B102" s="142" t="s">
        <v>27</v>
      </c>
      <c r="C102" s="143" t="str">
        <f>HYPERLINK("https://azurlane.koumakan.jp/Matsukaze","Matsukaze")</f>
        <v>Matsukaze</v>
      </c>
      <c r="D102" s="142" t="s">
        <v>36</v>
      </c>
      <c r="E102" s="145">
        <v>1599.0</v>
      </c>
      <c r="F102" s="145">
        <v>60.0</v>
      </c>
      <c r="G102" s="145">
        <v>409.0</v>
      </c>
      <c r="H102" s="145">
        <v>0.0</v>
      </c>
      <c r="I102" s="145">
        <v>133.0</v>
      </c>
      <c r="J102" s="145">
        <v>205.0</v>
      </c>
      <c r="K102" s="145">
        <v>246.0</v>
      </c>
      <c r="L102" s="145" t="s">
        <v>29</v>
      </c>
      <c r="M102" s="145">
        <v>44.0</v>
      </c>
      <c r="N102" s="145">
        <v>206.0</v>
      </c>
      <c r="O102" s="145">
        <v>45.0</v>
      </c>
      <c r="P102" s="145">
        <v>188.0</v>
      </c>
      <c r="Q102" s="145">
        <v>7.0</v>
      </c>
      <c r="R102" s="145">
        <v>0.0</v>
      </c>
      <c r="S102" s="145">
        <v>0.0</v>
      </c>
      <c r="T102" s="147" t="s">
        <v>143</v>
      </c>
      <c r="U102" s="164" t="s">
        <v>562</v>
      </c>
      <c r="V102" s="149" t="s">
        <v>551</v>
      </c>
      <c r="W102" s="149" t="s">
        <v>551</v>
      </c>
      <c r="X102" s="147" t="s">
        <v>701</v>
      </c>
      <c r="Y102" s="147" t="s">
        <v>556</v>
      </c>
      <c r="Z102" s="147" t="s">
        <v>27</v>
      </c>
      <c r="AA102" s="147" t="s">
        <v>557</v>
      </c>
      <c r="AB102" s="147" t="s">
        <v>11</v>
      </c>
      <c r="AC102" s="147" t="s">
        <v>702</v>
      </c>
    </row>
    <row r="103" ht="15.75" customHeight="1">
      <c r="A103" s="141">
        <v>270.1</v>
      </c>
      <c r="B103" s="142" t="s">
        <v>27</v>
      </c>
      <c r="C103" s="143" t="str">
        <f>HYPERLINK("https://azurlane.koumakan.jp/Matsukaze#Retrofit","Matsukaze (R)")</f>
        <v>Matsukaze (R)</v>
      </c>
      <c r="D103" s="142" t="s">
        <v>28</v>
      </c>
      <c r="E103" s="158">
        <v>1764.0</v>
      </c>
      <c r="F103" s="158">
        <v>60.0</v>
      </c>
      <c r="G103" s="158">
        <v>419.0</v>
      </c>
      <c r="H103" s="158">
        <v>0.0</v>
      </c>
      <c r="I103" s="158">
        <v>173.0</v>
      </c>
      <c r="J103" s="145">
        <v>225.0</v>
      </c>
      <c r="K103" s="158">
        <v>246.0</v>
      </c>
      <c r="L103" s="145" t="s">
        <v>29</v>
      </c>
      <c r="M103" s="145">
        <v>47.0</v>
      </c>
      <c r="N103" s="145">
        <v>216.0</v>
      </c>
      <c r="O103" s="145">
        <v>45.0</v>
      </c>
      <c r="P103" s="145">
        <v>188.0</v>
      </c>
      <c r="Q103" s="145">
        <v>7.0</v>
      </c>
      <c r="R103" s="145">
        <v>0.0</v>
      </c>
      <c r="S103" s="145">
        <v>0.0</v>
      </c>
      <c r="T103" s="147" t="s">
        <v>143</v>
      </c>
      <c r="U103" s="164" t="s">
        <v>562</v>
      </c>
      <c r="V103" s="149" t="s">
        <v>551</v>
      </c>
      <c r="W103" s="161" t="s">
        <v>606</v>
      </c>
      <c r="X103" s="147" t="s">
        <v>701</v>
      </c>
      <c r="Y103" s="147" t="s">
        <v>556</v>
      </c>
      <c r="Z103" s="147" t="s">
        <v>27</v>
      </c>
      <c r="AA103" s="147" t="s">
        <v>557</v>
      </c>
      <c r="AB103" s="147" t="s">
        <v>11</v>
      </c>
      <c r="AC103" s="147" t="s">
        <v>704</v>
      </c>
    </row>
    <row r="104" ht="15.75" customHeight="1">
      <c r="A104" s="141">
        <v>271.0</v>
      </c>
      <c r="B104" s="142" t="s">
        <v>27</v>
      </c>
      <c r="C104" s="143" t="str">
        <f>HYPERLINK("https://azurlane.koumakan.jp/Mutsuki","Mutsuki")</f>
        <v>Mutsuki</v>
      </c>
      <c r="D104" s="142" t="s">
        <v>40</v>
      </c>
      <c r="E104" s="145">
        <v>1523.0</v>
      </c>
      <c r="F104" s="145">
        <v>60.0</v>
      </c>
      <c r="G104" s="145">
        <v>433.0</v>
      </c>
      <c r="H104" s="145">
        <v>0.0</v>
      </c>
      <c r="I104" s="145">
        <v>141.0</v>
      </c>
      <c r="J104" s="145">
        <v>199.0</v>
      </c>
      <c r="K104" s="145">
        <v>250.0</v>
      </c>
      <c r="L104" s="145" t="s">
        <v>29</v>
      </c>
      <c r="M104" s="145">
        <v>44.0</v>
      </c>
      <c r="N104" s="145">
        <v>200.0</v>
      </c>
      <c r="O104" s="145">
        <v>35.0</v>
      </c>
      <c r="P104" s="145">
        <v>184.0</v>
      </c>
      <c r="Q104" s="145">
        <v>7.0</v>
      </c>
      <c r="R104" s="145">
        <v>0.0</v>
      </c>
      <c r="S104" s="145">
        <v>0.0</v>
      </c>
      <c r="T104" s="147" t="s">
        <v>143</v>
      </c>
      <c r="U104" s="164" t="s">
        <v>562</v>
      </c>
      <c r="V104" s="149" t="s">
        <v>551</v>
      </c>
      <c r="W104" s="149" t="s">
        <v>551</v>
      </c>
      <c r="X104" s="147" t="s">
        <v>705</v>
      </c>
      <c r="Y104" s="147" t="s">
        <v>567</v>
      </c>
      <c r="Z104" s="147" t="s">
        <v>27</v>
      </c>
      <c r="AA104" s="147" t="s">
        <v>557</v>
      </c>
      <c r="AB104" s="147" t="s">
        <v>11</v>
      </c>
      <c r="AC104" s="147" t="s">
        <v>706</v>
      </c>
    </row>
    <row r="105" ht="15.75" customHeight="1">
      <c r="A105" s="141">
        <v>271.1</v>
      </c>
      <c r="B105" s="142" t="s">
        <v>27</v>
      </c>
      <c r="C105" s="143" t="str">
        <f>HYPERLINK("https://azurlane.koumakan.jp/Mutsuki#Retrofit","Mutsuki (R)")</f>
        <v>Mutsuki (R)</v>
      </c>
      <c r="D105" s="142" t="s">
        <v>36</v>
      </c>
      <c r="E105" s="158">
        <v>1688.0</v>
      </c>
      <c r="F105" s="158">
        <v>60.0</v>
      </c>
      <c r="G105" s="158">
        <v>468.0</v>
      </c>
      <c r="H105" s="158">
        <v>0.0</v>
      </c>
      <c r="I105" s="158">
        <v>176.0</v>
      </c>
      <c r="J105" s="145">
        <v>219.0</v>
      </c>
      <c r="K105" s="158">
        <v>250.0</v>
      </c>
      <c r="L105" s="145" t="s">
        <v>29</v>
      </c>
      <c r="M105" s="145">
        <v>47.0</v>
      </c>
      <c r="N105" s="145">
        <v>200.0</v>
      </c>
      <c r="O105" s="145">
        <v>35.0</v>
      </c>
      <c r="P105" s="145">
        <v>184.0</v>
      </c>
      <c r="Q105" s="145">
        <v>7.0</v>
      </c>
      <c r="R105" s="145">
        <v>0.0</v>
      </c>
      <c r="S105" s="145">
        <v>0.0</v>
      </c>
      <c r="T105" s="147" t="s">
        <v>143</v>
      </c>
      <c r="U105" s="164" t="s">
        <v>562</v>
      </c>
      <c r="V105" s="149" t="s">
        <v>551</v>
      </c>
      <c r="W105" s="148" t="s">
        <v>564</v>
      </c>
      <c r="X105" s="147" t="s">
        <v>705</v>
      </c>
      <c r="Y105" s="147" t="s">
        <v>567</v>
      </c>
      <c r="Z105" s="147" t="s">
        <v>27</v>
      </c>
      <c r="AA105" s="147" t="s">
        <v>557</v>
      </c>
      <c r="AB105" s="147" t="s">
        <v>11</v>
      </c>
      <c r="AC105" s="147" t="s">
        <v>707</v>
      </c>
    </row>
    <row r="106" ht="15.75" customHeight="1">
      <c r="A106" s="141">
        <v>272.0</v>
      </c>
      <c r="B106" s="142" t="s">
        <v>27</v>
      </c>
      <c r="C106" s="143" t="str">
        <f>HYPERLINK("https://azurlane.koumakan.jp/Kisaragi","Kisaragi")</f>
        <v>Kisaragi</v>
      </c>
      <c r="D106" s="142" t="s">
        <v>40</v>
      </c>
      <c r="E106" s="145">
        <v>1523.0</v>
      </c>
      <c r="F106" s="145">
        <v>60.0</v>
      </c>
      <c r="G106" s="145">
        <v>433.0</v>
      </c>
      <c r="H106" s="145">
        <v>0.0</v>
      </c>
      <c r="I106" s="145">
        <v>141.0</v>
      </c>
      <c r="J106" s="145">
        <v>199.0</v>
      </c>
      <c r="K106" s="145">
        <v>250.0</v>
      </c>
      <c r="L106" s="145" t="s">
        <v>29</v>
      </c>
      <c r="M106" s="145">
        <v>44.0</v>
      </c>
      <c r="N106" s="145">
        <v>200.0</v>
      </c>
      <c r="O106" s="145">
        <v>15.0</v>
      </c>
      <c r="P106" s="145">
        <v>182.0</v>
      </c>
      <c r="Q106" s="145">
        <v>7.0</v>
      </c>
      <c r="R106" s="145">
        <v>0.0</v>
      </c>
      <c r="S106" s="145">
        <v>0.0</v>
      </c>
      <c r="T106" s="147" t="s">
        <v>143</v>
      </c>
      <c r="U106" s="164" t="s">
        <v>562</v>
      </c>
      <c r="V106" s="149" t="s">
        <v>551</v>
      </c>
      <c r="W106" s="149" t="s">
        <v>551</v>
      </c>
      <c r="X106" s="147" t="s">
        <v>705</v>
      </c>
      <c r="Y106" s="147" t="s">
        <v>567</v>
      </c>
      <c r="Z106" s="147" t="s">
        <v>27</v>
      </c>
      <c r="AA106" s="147" t="s">
        <v>557</v>
      </c>
      <c r="AB106" s="147" t="s">
        <v>11</v>
      </c>
      <c r="AC106" s="147" t="s">
        <v>706</v>
      </c>
    </row>
    <row r="107" ht="15.75" customHeight="1">
      <c r="A107" s="141">
        <v>272.1</v>
      </c>
      <c r="B107" s="142" t="s">
        <v>27</v>
      </c>
      <c r="C107" s="143" t="str">
        <f>HYPERLINK("https://azurlane.koumakan.jp/Kisaragi#Retrofit","Kisaragi (R)")</f>
        <v>Kisaragi (R)</v>
      </c>
      <c r="D107" s="142" t="s">
        <v>36</v>
      </c>
      <c r="E107" s="145">
        <v>1688.0</v>
      </c>
      <c r="F107" s="145">
        <v>60.0</v>
      </c>
      <c r="G107" s="145">
        <v>468.0</v>
      </c>
      <c r="H107" s="145">
        <v>0.0</v>
      </c>
      <c r="I107" s="145">
        <v>176.0</v>
      </c>
      <c r="J107" s="145">
        <v>219.0</v>
      </c>
      <c r="K107" s="145">
        <v>250.0</v>
      </c>
      <c r="L107" s="145" t="s">
        <v>29</v>
      </c>
      <c r="M107" s="145">
        <v>47.0</v>
      </c>
      <c r="N107" s="145">
        <v>200.0</v>
      </c>
      <c r="O107" s="145">
        <v>15.0</v>
      </c>
      <c r="P107" s="145">
        <v>182.0</v>
      </c>
      <c r="Q107" s="145">
        <v>7.0</v>
      </c>
      <c r="R107" s="145">
        <v>0.0</v>
      </c>
      <c r="S107" s="145">
        <v>0.0</v>
      </c>
      <c r="T107" s="147" t="s">
        <v>143</v>
      </c>
      <c r="U107" s="164" t="s">
        <v>562</v>
      </c>
      <c r="V107" s="149" t="s">
        <v>551</v>
      </c>
      <c r="W107" s="164" t="s">
        <v>565</v>
      </c>
      <c r="X107" s="147" t="s">
        <v>705</v>
      </c>
      <c r="Y107" s="147" t="s">
        <v>567</v>
      </c>
      <c r="Z107" s="147" t="s">
        <v>27</v>
      </c>
      <c r="AA107" s="147" t="s">
        <v>557</v>
      </c>
      <c r="AB107" s="147" t="s">
        <v>11</v>
      </c>
      <c r="AC107" s="147" t="s">
        <v>708</v>
      </c>
    </row>
    <row r="108" ht="15.75" customHeight="1">
      <c r="A108" s="141">
        <v>274.0</v>
      </c>
      <c r="B108" s="142" t="s">
        <v>27</v>
      </c>
      <c r="C108" s="143" t="str">
        <f>HYPERLINK("https://azurlane.koumakan.jp/Uzuki","Uzuki")</f>
        <v>Uzuki</v>
      </c>
      <c r="D108" s="142" t="s">
        <v>40</v>
      </c>
      <c r="E108" s="145">
        <v>1523.0</v>
      </c>
      <c r="F108" s="145">
        <v>60.0</v>
      </c>
      <c r="G108" s="145">
        <v>433.0</v>
      </c>
      <c r="H108" s="145">
        <v>0.0</v>
      </c>
      <c r="I108" s="145">
        <v>141.0</v>
      </c>
      <c r="J108" s="145">
        <v>199.0</v>
      </c>
      <c r="K108" s="145">
        <v>250.0</v>
      </c>
      <c r="L108" s="145" t="s">
        <v>29</v>
      </c>
      <c r="M108" s="145">
        <v>44.0</v>
      </c>
      <c r="N108" s="145">
        <v>200.0</v>
      </c>
      <c r="O108" s="145">
        <v>37.0</v>
      </c>
      <c r="P108" s="145">
        <v>184.0</v>
      </c>
      <c r="Q108" s="145">
        <v>7.0</v>
      </c>
      <c r="R108" s="145">
        <v>0.0</v>
      </c>
      <c r="S108" s="145">
        <v>0.0</v>
      </c>
      <c r="T108" s="147" t="s">
        <v>143</v>
      </c>
      <c r="U108" s="164" t="s">
        <v>562</v>
      </c>
      <c r="V108" s="149" t="s">
        <v>551</v>
      </c>
      <c r="W108" s="149" t="s">
        <v>551</v>
      </c>
      <c r="X108" s="147" t="s">
        <v>705</v>
      </c>
      <c r="Y108" s="147" t="s">
        <v>567</v>
      </c>
      <c r="Z108" s="147" t="s">
        <v>27</v>
      </c>
      <c r="AA108" s="147" t="s">
        <v>557</v>
      </c>
      <c r="AB108" s="147" t="s">
        <v>11</v>
      </c>
      <c r="AC108" s="147" t="s">
        <v>706</v>
      </c>
    </row>
    <row r="109" ht="15.75" customHeight="1">
      <c r="A109" s="141">
        <v>276.0</v>
      </c>
      <c r="B109" s="142" t="s">
        <v>27</v>
      </c>
      <c r="C109" s="143" t="str">
        <f>HYPERLINK("https://azurlane.koumakan.jp/Minazuki","Minazuki")</f>
        <v>Minazuki</v>
      </c>
      <c r="D109" s="142" t="s">
        <v>40</v>
      </c>
      <c r="E109" s="145">
        <v>1523.0</v>
      </c>
      <c r="F109" s="145">
        <v>60.0</v>
      </c>
      <c r="G109" s="145">
        <v>433.0</v>
      </c>
      <c r="H109" s="145">
        <v>0.0</v>
      </c>
      <c r="I109" s="145">
        <v>141.0</v>
      </c>
      <c r="J109" s="145">
        <v>199.0</v>
      </c>
      <c r="K109" s="145">
        <v>250.0</v>
      </c>
      <c r="L109" s="145" t="s">
        <v>29</v>
      </c>
      <c r="M109" s="145">
        <v>44.0</v>
      </c>
      <c r="N109" s="145">
        <v>200.0</v>
      </c>
      <c r="O109" s="145">
        <v>45.0</v>
      </c>
      <c r="P109" s="145">
        <v>171.0</v>
      </c>
      <c r="Q109" s="145">
        <v>7.0</v>
      </c>
      <c r="R109" s="145">
        <v>0.0</v>
      </c>
      <c r="S109" s="145">
        <v>0.0</v>
      </c>
      <c r="T109" s="147" t="s">
        <v>143</v>
      </c>
      <c r="U109" s="164" t="s">
        <v>562</v>
      </c>
      <c r="V109" s="149" t="s">
        <v>551</v>
      </c>
      <c r="W109" s="149" t="s">
        <v>551</v>
      </c>
      <c r="X109" s="147" t="s">
        <v>705</v>
      </c>
      <c r="Y109" s="147" t="s">
        <v>567</v>
      </c>
      <c r="Z109" s="147" t="s">
        <v>27</v>
      </c>
      <c r="AA109" s="147" t="s">
        <v>557</v>
      </c>
      <c r="AB109" s="147" t="s">
        <v>11</v>
      </c>
      <c r="AC109" s="147" t="s">
        <v>706</v>
      </c>
    </row>
    <row r="110" ht="15.75" customHeight="1">
      <c r="A110" s="141">
        <v>277.0</v>
      </c>
      <c r="B110" s="142" t="s">
        <v>27</v>
      </c>
      <c r="C110" s="143" t="str">
        <f>HYPERLINK("https://azurlane.koumakan.jp/Fumizuki","Fumizuki")</f>
        <v>Fumizuki</v>
      </c>
      <c r="D110" s="142" t="s">
        <v>36</v>
      </c>
      <c r="E110" s="145">
        <v>1553.0</v>
      </c>
      <c r="F110" s="145">
        <v>61.0</v>
      </c>
      <c r="G110" s="145">
        <v>444.0</v>
      </c>
      <c r="H110" s="145">
        <v>0.0</v>
      </c>
      <c r="I110" s="145">
        <v>131.0</v>
      </c>
      <c r="J110" s="145">
        <v>204.0</v>
      </c>
      <c r="K110" s="145">
        <v>250.0</v>
      </c>
      <c r="L110" s="145" t="s">
        <v>29</v>
      </c>
      <c r="M110" s="145">
        <v>44.0</v>
      </c>
      <c r="N110" s="145">
        <v>200.0</v>
      </c>
      <c r="O110" s="145">
        <v>27.0</v>
      </c>
      <c r="P110" s="145">
        <v>187.0</v>
      </c>
      <c r="Q110" s="145">
        <v>8.0</v>
      </c>
      <c r="R110" s="145">
        <v>0.0</v>
      </c>
      <c r="S110" s="145">
        <v>0.0</v>
      </c>
      <c r="T110" s="147" t="s">
        <v>143</v>
      </c>
      <c r="U110" s="164" t="s">
        <v>562</v>
      </c>
      <c r="V110" s="149" t="s">
        <v>551</v>
      </c>
      <c r="W110" s="149" t="s">
        <v>551</v>
      </c>
      <c r="X110" s="147" t="s">
        <v>705</v>
      </c>
      <c r="Y110" s="147" t="s">
        <v>567</v>
      </c>
      <c r="Z110" s="147" t="s">
        <v>27</v>
      </c>
      <c r="AA110" s="147" t="s">
        <v>557</v>
      </c>
      <c r="AB110" s="147" t="s">
        <v>11</v>
      </c>
      <c r="AC110" s="147" t="s">
        <v>706</v>
      </c>
    </row>
    <row r="111" ht="15.75" customHeight="1">
      <c r="A111" s="141">
        <v>278.0</v>
      </c>
      <c r="B111" s="142" t="s">
        <v>27</v>
      </c>
      <c r="C111" s="143" t="str">
        <f>HYPERLINK("https://azurlane.koumakan.jp/Nagatsuki","Nagatsuki")</f>
        <v>Nagatsuki</v>
      </c>
      <c r="D111" s="142" t="s">
        <v>36</v>
      </c>
      <c r="E111" s="145">
        <v>1553.0</v>
      </c>
      <c r="F111" s="145">
        <v>61.0</v>
      </c>
      <c r="G111" s="145">
        <v>444.0</v>
      </c>
      <c r="H111" s="145">
        <v>0.0</v>
      </c>
      <c r="I111" s="145">
        <v>131.0</v>
      </c>
      <c r="J111" s="145">
        <v>204.0</v>
      </c>
      <c r="K111" s="145">
        <v>250.0</v>
      </c>
      <c r="L111" s="145" t="s">
        <v>29</v>
      </c>
      <c r="M111" s="145">
        <v>44.0</v>
      </c>
      <c r="N111" s="145">
        <v>200.0</v>
      </c>
      <c r="O111" s="145">
        <v>35.0</v>
      </c>
      <c r="P111" s="145">
        <v>190.0</v>
      </c>
      <c r="Q111" s="145">
        <v>8.0</v>
      </c>
      <c r="R111" s="145">
        <v>0.0</v>
      </c>
      <c r="S111" s="145">
        <v>0.0</v>
      </c>
      <c r="T111" s="147" t="s">
        <v>143</v>
      </c>
      <c r="U111" s="164" t="s">
        <v>562</v>
      </c>
      <c r="V111" s="149" t="s">
        <v>551</v>
      </c>
      <c r="W111" s="149" t="s">
        <v>551</v>
      </c>
      <c r="X111" s="147" t="s">
        <v>705</v>
      </c>
      <c r="Y111" s="147" t="s">
        <v>567</v>
      </c>
      <c r="Z111" s="147" t="s">
        <v>27</v>
      </c>
      <c r="AA111" s="147" t="s">
        <v>557</v>
      </c>
      <c r="AB111" s="147" t="s">
        <v>11</v>
      </c>
      <c r="AC111" s="147" t="s">
        <v>706</v>
      </c>
    </row>
    <row r="112" ht="15.75" customHeight="1">
      <c r="A112" s="141">
        <v>280.0</v>
      </c>
      <c r="B112" s="142" t="s">
        <v>27</v>
      </c>
      <c r="C112" s="143" t="str">
        <f>HYPERLINK("https://azurlane.koumakan.jp/Mikazuki","Mikazuki")</f>
        <v>Mikazuki</v>
      </c>
      <c r="D112" s="149" t="s">
        <v>40</v>
      </c>
      <c r="E112" s="145">
        <v>1523.0</v>
      </c>
      <c r="F112" s="145">
        <v>69.0</v>
      </c>
      <c r="G112" s="145">
        <v>433.0</v>
      </c>
      <c r="H112" s="145">
        <v>0.0</v>
      </c>
      <c r="I112" s="145">
        <v>141.0</v>
      </c>
      <c r="J112" s="145">
        <v>199.0</v>
      </c>
      <c r="K112" s="145">
        <v>250.0</v>
      </c>
      <c r="L112" s="145" t="s">
        <v>29</v>
      </c>
      <c r="M112" s="145">
        <v>44.0</v>
      </c>
      <c r="N112" s="145">
        <v>200.0</v>
      </c>
      <c r="O112" s="145">
        <v>40.0</v>
      </c>
      <c r="P112" s="145">
        <v>185.0</v>
      </c>
      <c r="Q112" s="145">
        <v>7.0</v>
      </c>
      <c r="R112" s="145">
        <v>0.0</v>
      </c>
      <c r="S112" s="145">
        <v>0.0</v>
      </c>
      <c r="T112" s="147" t="s">
        <v>143</v>
      </c>
      <c r="U112" s="164" t="s">
        <v>562</v>
      </c>
      <c r="V112" s="149" t="s">
        <v>551</v>
      </c>
      <c r="W112" s="149" t="s">
        <v>551</v>
      </c>
      <c r="X112" s="147" t="s">
        <v>705</v>
      </c>
      <c r="Y112" s="147" t="s">
        <v>567</v>
      </c>
      <c r="Z112" s="147" t="s">
        <v>27</v>
      </c>
      <c r="AA112" s="147" t="s">
        <v>557</v>
      </c>
      <c r="AB112" s="147" t="s">
        <v>11</v>
      </c>
      <c r="AC112" s="147" t="s">
        <v>706</v>
      </c>
    </row>
    <row r="113" ht="15.75" customHeight="1">
      <c r="A113" s="150">
        <v>286.0</v>
      </c>
      <c r="B113" s="151" t="s">
        <v>27</v>
      </c>
      <c r="C113" s="171" t="s">
        <v>220</v>
      </c>
      <c r="D113" s="153" t="s">
        <v>28</v>
      </c>
      <c r="E113" s="154">
        <v>1722.0</v>
      </c>
      <c r="F113" s="154">
        <v>64.0</v>
      </c>
      <c r="G113" s="154">
        <v>500.0</v>
      </c>
      <c r="H113" s="154">
        <v>0.0</v>
      </c>
      <c r="I113" s="154">
        <v>142.0</v>
      </c>
      <c r="J113" s="154">
        <v>202.0</v>
      </c>
      <c r="K113" s="154">
        <v>246.0</v>
      </c>
      <c r="L113" s="154" t="s">
        <v>29</v>
      </c>
      <c r="M113" s="154">
        <v>40.0</v>
      </c>
      <c r="N113" s="154">
        <v>215.0</v>
      </c>
      <c r="O113" s="154">
        <v>50.0</v>
      </c>
      <c r="P113" s="154">
        <v>187.0</v>
      </c>
      <c r="Q113" s="154">
        <v>9.0</v>
      </c>
      <c r="R113" s="154">
        <v>0.0</v>
      </c>
      <c r="S113" s="154">
        <v>0.0</v>
      </c>
      <c r="T113" s="147" t="s">
        <v>143</v>
      </c>
      <c r="U113" s="173" t="s">
        <v>709</v>
      </c>
      <c r="V113" s="181" t="s">
        <v>710</v>
      </c>
      <c r="W113" s="153" t="s">
        <v>551</v>
      </c>
      <c r="X113" s="153" t="s">
        <v>649</v>
      </c>
      <c r="Y113" s="153" t="s">
        <v>567</v>
      </c>
      <c r="Z113" s="153" t="s">
        <v>27</v>
      </c>
      <c r="AA113" s="153" t="s">
        <v>557</v>
      </c>
      <c r="AB113" s="153" t="s">
        <v>11</v>
      </c>
      <c r="AC113" s="153" t="s">
        <v>645</v>
      </c>
    </row>
    <row r="114" ht="15.75" customHeight="1">
      <c r="A114" s="150">
        <v>287.0</v>
      </c>
      <c r="B114" s="151" t="s">
        <v>27</v>
      </c>
      <c r="C114" s="171" t="s">
        <v>221</v>
      </c>
      <c r="D114" s="153" t="s">
        <v>28</v>
      </c>
      <c r="E114" s="154">
        <v>1722.0</v>
      </c>
      <c r="F114" s="154">
        <v>66.0</v>
      </c>
      <c r="G114" s="154">
        <v>494.0</v>
      </c>
      <c r="H114" s="154">
        <v>0.0</v>
      </c>
      <c r="I114" s="154">
        <v>142.0</v>
      </c>
      <c r="J114" s="154">
        <v>202.0</v>
      </c>
      <c r="K114" s="154">
        <v>246.0</v>
      </c>
      <c r="L114" s="154" t="s">
        <v>29</v>
      </c>
      <c r="M114" s="154">
        <v>40.0</v>
      </c>
      <c r="N114" s="154">
        <v>215.0</v>
      </c>
      <c r="O114" s="154">
        <v>35.0</v>
      </c>
      <c r="P114" s="154">
        <v>190.0</v>
      </c>
      <c r="Q114" s="154">
        <v>9.0</v>
      </c>
      <c r="R114" s="154">
        <v>0.0</v>
      </c>
      <c r="S114" s="154">
        <v>0.0</v>
      </c>
      <c r="T114" s="147" t="s">
        <v>143</v>
      </c>
      <c r="U114" s="173" t="s">
        <v>711</v>
      </c>
      <c r="V114" s="148" t="s">
        <v>564</v>
      </c>
      <c r="W114" s="153" t="s">
        <v>551</v>
      </c>
      <c r="X114" s="153" t="s">
        <v>649</v>
      </c>
      <c r="Y114" s="153" t="s">
        <v>567</v>
      </c>
      <c r="Z114" s="153" t="s">
        <v>27</v>
      </c>
      <c r="AA114" s="153" t="s">
        <v>557</v>
      </c>
      <c r="AB114" s="153" t="s">
        <v>11</v>
      </c>
      <c r="AC114" s="153" t="s">
        <v>645</v>
      </c>
    </row>
    <row r="115" ht="15.75" customHeight="1">
      <c r="A115" s="141">
        <v>288.0</v>
      </c>
      <c r="B115" s="142" t="s">
        <v>27</v>
      </c>
      <c r="C115" s="143" t="str">
        <f>HYPERLINK("https://azurlane.koumakan.jp/Kawakaze","Kawakaze")</f>
        <v>Kawakaze</v>
      </c>
      <c r="D115" s="149" t="s">
        <v>32</v>
      </c>
      <c r="E115" s="145">
        <v>1875.0</v>
      </c>
      <c r="F115" s="145">
        <v>70.0</v>
      </c>
      <c r="G115" s="145">
        <v>551.0</v>
      </c>
      <c r="H115" s="145">
        <v>0.0</v>
      </c>
      <c r="I115" s="145">
        <v>164.0</v>
      </c>
      <c r="J115" s="145">
        <v>220.0</v>
      </c>
      <c r="K115" s="145">
        <v>246.0</v>
      </c>
      <c r="L115" s="145" t="s">
        <v>29</v>
      </c>
      <c r="M115" s="145">
        <v>40.0</v>
      </c>
      <c r="N115" s="145">
        <v>215.0</v>
      </c>
      <c r="O115" s="145">
        <v>38.0</v>
      </c>
      <c r="P115" s="145">
        <v>203.0</v>
      </c>
      <c r="Q115" s="145">
        <v>10.0</v>
      </c>
      <c r="R115" s="145">
        <v>0.0</v>
      </c>
      <c r="S115" s="145">
        <v>0.0</v>
      </c>
      <c r="T115" s="147" t="s">
        <v>143</v>
      </c>
      <c r="U115" s="148" t="s">
        <v>712</v>
      </c>
      <c r="V115" s="148" t="s">
        <v>713</v>
      </c>
      <c r="W115" s="149" t="s">
        <v>551</v>
      </c>
      <c r="X115" s="147" t="s">
        <v>714</v>
      </c>
      <c r="Y115" s="147" t="s">
        <v>567</v>
      </c>
      <c r="Z115" s="147" t="s">
        <v>27</v>
      </c>
      <c r="AA115" s="147" t="s">
        <v>557</v>
      </c>
      <c r="AB115" s="147" t="s">
        <v>11</v>
      </c>
      <c r="AC115" s="147" t="s">
        <v>652</v>
      </c>
    </row>
    <row r="116" ht="15.75" customHeight="1">
      <c r="A116" s="182">
        <v>293.0</v>
      </c>
      <c r="B116" s="183" t="s">
        <v>27</v>
      </c>
      <c r="C116" s="152" t="str">
        <f>HYPERLINK("https://azurlane.koumakan.jp/Kiyonami","Kiyonami")</f>
        <v>Kiyonami</v>
      </c>
      <c r="D116" s="170" t="s">
        <v>36</v>
      </c>
      <c r="E116" s="170">
        <v>2105.0</v>
      </c>
      <c r="F116" s="170">
        <v>60.0</v>
      </c>
      <c r="G116" s="170">
        <v>503.0</v>
      </c>
      <c r="H116" s="170">
        <v>0.0</v>
      </c>
      <c r="I116" s="170">
        <v>141.0</v>
      </c>
      <c r="J116" s="170">
        <v>213.0</v>
      </c>
      <c r="K116" s="170">
        <v>246.0</v>
      </c>
      <c r="L116" s="170" t="s">
        <v>29</v>
      </c>
      <c r="M116" s="170">
        <v>42.0</v>
      </c>
      <c r="N116" s="170">
        <v>218.0</v>
      </c>
      <c r="O116" s="170">
        <v>46.0</v>
      </c>
      <c r="P116" s="170">
        <v>187.0</v>
      </c>
      <c r="Q116" s="170">
        <v>8.0</v>
      </c>
      <c r="R116" s="170">
        <v>0.0</v>
      </c>
      <c r="S116" s="170">
        <v>0.0</v>
      </c>
      <c r="T116" s="170" t="s">
        <v>143</v>
      </c>
      <c r="U116" s="164" t="s">
        <v>575</v>
      </c>
      <c r="V116" s="164" t="s">
        <v>715</v>
      </c>
      <c r="W116" s="149" t="s">
        <v>551</v>
      </c>
      <c r="X116" s="147" t="s">
        <v>716</v>
      </c>
      <c r="Y116" s="147" t="s">
        <v>567</v>
      </c>
      <c r="Z116" s="147" t="s">
        <v>27</v>
      </c>
      <c r="AA116" s="147" t="s">
        <v>557</v>
      </c>
      <c r="AB116" s="147" t="s">
        <v>11</v>
      </c>
      <c r="AC116" s="178" t="s">
        <v>645</v>
      </c>
    </row>
    <row r="117" ht="15.75" customHeight="1">
      <c r="A117" s="141">
        <v>295.0</v>
      </c>
      <c r="B117" s="142" t="s">
        <v>27</v>
      </c>
      <c r="C117" s="143" t="str">
        <f>HYPERLINK("https://azurlane.koumakan.jp/Niizuki","Niizuki")</f>
        <v>Niizuki</v>
      </c>
      <c r="D117" s="142" t="s">
        <v>28</v>
      </c>
      <c r="E117" s="145">
        <v>2504.0</v>
      </c>
      <c r="F117" s="145">
        <v>77.0</v>
      </c>
      <c r="G117" s="145">
        <v>375.0</v>
      </c>
      <c r="H117" s="145">
        <v>0.0</v>
      </c>
      <c r="I117" s="145">
        <v>198.0</v>
      </c>
      <c r="J117" s="145">
        <v>213.0</v>
      </c>
      <c r="K117" s="145">
        <v>232.0</v>
      </c>
      <c r="L117" s="145" t="s">
        <v>29</v>
      </c>
      <c r="M117" s="145">
        <v>39.0</v>
      </c>
      <c r="N117" s="145">
        <v>207.0</v>
      </c>
      <c r="O117" s="145">
        <v>32.0</v>
      </c>
      <c r="P117" s="145">
        <v>203.0</v>
      </c>
      <c r="Q117" s="145">
        <v>9.0</v>
      </c>
      <c r="R117" s="145">
        <v>0.0</v>
      </c>
      <c r="S117" s="145">
        <v>0.0</v>
      </c>
      <c r="T117" s="147" t="s">
        <v>143</v>
      </c>
      <c r="U117" s="148" t="s">
        <v>717</v>
      </c>
      <c r="V117" s="161" t="s">
        <v>590</v>
      </c>
      <c r="W117" s="149" t="s">
        <v>551</v>
      </c>
      <c r="X117" s="147" t="s">
        <v>718</v>
      </c>
      <c r="Y117" s="147" t="s">
        <v>561</v>
      </c>
      <c r="Z117" s="147" t="s">
        <v>27</v>
      </c>
      <c r="AA117" s="147" t="s">
        <v>557</v>
      </c>
      <c r="AB117" s="147" t="s">
        <v>11</v>
      </c>
      <c r="AC117" s="147" t="s">
        <v>719</v>
      </c>
    </row>
    <row r="118" ht="15.75" customHeight="1">
      <c r="A118" s="141">
        <v>296.0</v>
      </c>
      <c r="B118" s="142" t="s">
        <v>27</v>
      </c>
      <c r="C118" s="184" t="str">
        <f>HYPERLINK("https://azurlane.koumakan.jp/Harutsuki","Harutsuki")</f>
        <v>Harutsuki</v>
      </c>
      <c r="D118" s="142" t="s">
        <v>28</v>
      </c>
      <c r="E118" s="145">
        <v>2504.0</v>
      </c>
      <c r="F118" s="145">
        <v>75.0</v>
      </c>
      <c r="G118" s="145">
        <v>368.0</v>
      </c>
      <c r="H118" s="145">
        <v>0.0</v>
      </c>
      <c r="I118" s="145">
        <v>198.0</v>
      </c>
      <c r="J118" s="145">
        <v>213.0</v>
      </c>
      <c r="K118" s="145">
        <v>232.0</v>
      </c>
      <c r="L118" s="145" t="s">
        <v>29</v>
      </c>
      <c r="M118" s="145">
        <v>39.0</v>
      </c>
      <c r="N118" s="145">
        <v>212.0</v>
      </c>
      <c r="O118" s="145">
        <v>61.0</v>
      </c>
      <c r="P118" s="145">
        <v>210.0</v>
      </c>
      <c r="Q118" s="145">
        <v>9.0</v>
      </c>
      <c r="R118" s="145">
        <v>0.0</v>
      </c>
      <c r="S118" s="145">
        <v>0.0</v>
      </c>
      <c r="T118" s="147" t="s">
        <v>143</v>
      </c>
      <c r="U118" s="164" t="s">
        <v>720</v>
      </c>
      <c r="V118" s="149" t="s">
        <v>551</v>
      </c>
      <c r="W118" s="149" t="s">
        <v>551</v>
      </c>
      <c r="X118" s="147" t="s">
        <v>718</v>
      </c>
      <c r="Y118" s="147" t="s">
        <v>561</v>
      </c>
      <c r="Z118" s="147" t="s">
        <v>27</v>
      </c>
      <c r="AA118" s="147" t="s">
        <v>557</v>
      </c>
      <c r="AB118" s="147" t="s">
        <v>11</v>
      </c>
      <c r="AC118" s="147" t="s">
        <v>719</v>
      </c>
    </row>
    <row r="119" ht="15.75" customHeight="1">
      <c r="A119" s="141">
        <v>297.0</v>
      </c>
      <c r="B119" s="142" t="s">
        <v>27</v>
      </c>
      <c r="C119" s="143" t="str">
        <f>HYPERLINK("https://azurlane.koumakan.jp/Yoizuki","Yoizuki")</f>
        <v>Yoizuki</v>
      </c>
      <c r="D119" s="142" t="s">
        <v>28</v>
      </c>
      <c r="E119" s="145">
        <v>2504.0</v>
      </c>
      <c r="F119" s="145">
        <v>75.0</v>
      </c>
      <c r="G119" s="145">
        <v>368.0</v>
      </c>
      <c r="H119" s="145">
        <v>0.0</v>
      </c>
      <c r="I119" s="145">
        <v>204.0</v>
      </c>
      <c r="J119" s="145">
        <v>213.0</v>
      </c>
      <c r="K119" s="145">
        <v>232.0</v>
      </c>
      <c r="L119" s="145" t="s">
        <v>29</v>
      </c>
      <c r="M119" s="145">
        <v>39.0</v>
      </c>
      <c r="N119" s="145">
        <v>212.0</v>
      </c>
      <c r="O119" s="145">
        <v>61.0</v>
      </c>
      <c r="P119" s="145">
        <v>203.0</v>
      </c>
      <c r="Q119" s="145">
        <v>9.0</v>
      </c>
      <c r="R119" s="145">
        <v>0.0</v>
      </c>
      <c r="S119" s="145">
        <v>0.0</v>
      </c>
      <c r="T119" s="147" t="s">
        <v>143</v>
      </c>
      <c r="U119" s="164" t="s">
        <v>720</v>
      </c>
      <c r="V119" s="149" t="s">
        <v>551</v>
      </c>
      <c r="W119" s="149" t="s">
        <v>551</v>
      </c>
      <c r="X119" s="147" t="s">
        <v>718</v>
      </c>
      <c r="Y119" s="147" t="s">
        <v>561</v>
      </c>
      <c r="Z119" s="147" t="s">
        <v>27</v>
      </c>
      <c r="AA119" s="147" t="s">
        <v>557</v>
      </c>
      <c r="AB119" s="147" t="s">
        <v>11</v>
      </c>
      <c r="AC119" s="147" t="s">
        <v>719</v>
      </c>
    </row>
    <row r="120" ht="15.75" customHeight="1">
      <c r="A120" s="141">
        <v>299.0</v>
      </c>
      <c r="B120" s="142" t="s">
        <v>27</v>
      </c>
      <c r="C120" s="143" t="str">
        <f>HYPERLINK("https://azurlane.koumakan.jp/Radford","Radford")</f>
        <v>Radford</v>
      </c>
      <c r="D120" s="142" t="s">
        <v>36</v>
      </c>
      <c r="E120" s="145">
        <v>2104.0</v>
      </c>
      <c r="F120" s="145">
        <v>87.0</v>
      </c>
      <c r="G120" s="145">
        <v>287.0</v>
      </c>
      <c r="H120" s="145">
        <v>0.0</v>
      </c>
      <c r="I120" s="145">
        <v>176.0</v>
      </c>
      <c r="J120" s="145">
        <v>204.0</v>
      </c>
      <c r="K120" s="145">
        <v>210.0</v>
      </c>
      <c r="L120" s="145" t="s">
        <v>29</v>
      </c>
      <c r="M120" s="145">
        <v>45.0</v>
      </c>
      <c r="N120" s="145">
        <v>222.0</v>
      </c>
      <c r="O120" s="145">
        <v>80.0</v>
      </c>
      <c r="P120" s="145">
        <v>209.0</v>
      </c>
      <c r="Q120" s="145">
        <v>8.0</v>
      </c>
      <c r="R120" s="145">
        <v>0.0</v>
      </c>
      <c r="S120" s="145">
        <v>0.0</v>
      </c>
      <c r="T120" s="147" t="s">
        <v>37</v>
      </c>
      <c r="U120" s="164" t="s">
        <v>575</v>
      </c>
      <c r="V120" s="149" t="s">
        <v>551</v>
      </c>
      <c r="W120" s="149" t="s">
        <v>551</v>
      </c>
      <c r="X120" s="147" t="s">
        <v>573</v>
      </c>
      <c r="Y120" s="147" t="s">
        <v>556</v>
      </c>
      <c r="Z120" s="147" t="s">
        <v>27</v>
      </c>
      <c r="AA120" s="147" t="s">
        <v>557</v>
      </c>
      <c r="AB120" s="147" t="s">
        <v>11</v>
      </c>
      <c r="AC120" s="147" t="s">
        <v>558</v>
      </c>
    </row>
    <row r="121" ht="15.75" customHeight="1">
      <c r="A121" s="141">
        <v>300.0</v>
      </c>
      <c r="B121" s="142" t="s">
        <v>27</v>
      </c>
      <c r="C121" s="143" t="str">
        <f>HYPERLINK("https://azurlane.koumakan.jp/Jenkins","Jenkins")</f>
        <v>Jenkins</v>
      </c>
      <c r="D121" s="142" t="s">
        <v>36</v>
      </c>
      <c r="E121" s="145">
        <v>2130.0</v>
      </c>
      <c r="F121" s="145">
        <v>87.0</v>
      </c>
      <c r="G121" s="145">
        <v>287.0</v>
      </c>
      <c r="H121" s="145">
        <v>0.0</v>
      </c>
      <c r="I121" s="145">
        <v>176.0</v>
      </c>
      <c r="J121" s="145">
        <v>204.0</v>
      </c>
      <c r="K121" s="145">
        <v>209.0</v>
      </c>
      <c r="L121" s="145" t="s">
        <v>29</v>
      </c>
      <c r="M121" s="145">
        <v>43.0</v>
      </c>
      <c r="N121" s="145">
        <v>222.0</v>
      </c>
      <c r="O121" s="145">
        <v>81.0</v>
      </c>
      <c r="P121" s="145">
        <v>209.0</v>
      </c>
      <c r="Q121" s="145">
        <v>8.0</v>
      </c>
      <c r="R121" s="145">
        <v>0.0</v>
      </c>
      <c r="S121" s="145">
        <v>0.0</v>
      </c>
      <c r="T121" s="147" t="s">
        <v>37</v>
      </c>
      <c r="U121" s="164" t="s">
        <v>575</v>
      </c>
      <c r="V121" s="149" t="s">
        <v>551</v>
      </c>
      <c r="W121" s="149" t="s">
        <v>551</v>
      </c>
      <c r="X121" s="147" t="s">
        <v>573</v>
      </c>
      <c r="Y121" s="147" t="s">
        <v>556</v>
      </c>
      <c r="Z121" s="147" t="s">
        <v>27</v>
      </c>
      <c r="AA121" s="147" t="s">
        <v>557</v>
      </c>
      <c r="AB121" s="147" t="s">
        <v>11</v>
      </c>
      <c r="AC121" s="147" t="s">
        <v>558</v>
      </c>
    </row>
    <row r="122" ht="15.75" customHeight="1">
      <c r="A122" s="141">
        <v>301.0</v>
      </c>
      <c r="B122" s="142" t="s">
        <v>27</v>
      </c>
      <c r="C122" s="143" t="str">
        <f>HYPERLINK("https://azurlane.koumakan.jp/Nicholas","Nicholas")</f>
        <v>Nicholas</v>
      </c>
      <c r="D122" s="142" t="s">
        <v>28</v>
      </c>
      <c r="E122" s="145">
        <v>2167.0</v>
      </c>
      <c r="F122" s="145">
        <v>88.0</v>
      </c>
      <c r="G122" s="145">
        <v>295.0</v>
      </c>
      <c r="H122" s="145">
        <v>0.0</v>
      </c>
      <c r="I122" s="145">
        <v>182.0</v>
      </c>
      <c r="J122" s="145">
        <v>210.0</v>
      </c>
      <c r="K122" s="145">
        <v>206.0</v>
      </c>
      <c r="L122" s="145" t="s">
        <v>29</v>
      </c>
      <c r="M122" s="145">
        <v>42.0</v>
      </c>
      <c r="N122" s="145">
        <v>222.0</v>
      </c>
      <c r="O122" s="145">
        <v>80.0</v>
      </c>
      <c r="P122" s="145">
        <v>215.0</v>
      </c>
      <c r="Q122" s="145">
        <v>9.0</v>
      </c>
      <c r="R122" s="145">
        <v>0.0</v>
      </c>
      <c r="S122" s="145">
        <v>0.0</v>
      </c>
      <c r="T122" s="147" t="s">
        <v>37</v>
      </c>
      <c r="U122" s="161" t="s">
        <v>721</v>
      </c>
      <c r="V122" s="164" t="s">
        <v>575</v>
      </c>
      <c r="W122" s="149" t="s">
        <v>551</v>
      </c>
      <c r="X122" s="147" t="s">
        <v>573</v>
      </c>
      <c r="Y122" s="147" t="s">
        <v>561</v>
      </c>
      <c r="Z122" s="147" t="s">
        <v>27</v>
      </c>
      <c r="AA122" s="147" t="s">
        <v>557</v>
      </c>
      <c r="AB122" s="147" t="s">
        <v>11</v>
      </c>
      <c r="AC122" s="147" t="s">
        <v>576</v>
      </c>
    </row>
    <row r="123" ht="15.75" customHeight="1">
      <c r="A123" s="141">
        <v>301.1</v>
      </c>
      <c r="B123" s="142" t="s">
        <v>27</v>
      </c>
      <c r="C123" s="143" t="str">
        <f>HYPERLINK("https://azurlane.koumakan.jp/Nicholas#Retrofit","Nicholas (R)")</f>
        <v>Nicholas (R)</v>
      </c>
      <c r="D123" s="142" t="s">
        <v>32</v>
      </c>
      <c r="E123" s="158">
        <v>2332.0</v>
      </c>
      <c r="F123" s="145">
        <v>133.0</v>
      </c>
      <c r="G123" s="145">
        <v>360.0</v>
      </c>
      <c r="H123" s="145">
        <v>0.0</v>
      </c>
      <c r="I123" s="145">
        <v>237.0</v>
      </c>
      <c r="J123" s="145">
        <v>210.0</v>
      </c>
      <c r="K123" s="145">
        <v>206.0</v>
      </c>
      <c r="L123" s="145" t="s">
        <v>29</v>
      </c>
      <c r="M123" s="145">
        <v>42.0</v>
      </c>
      <c r="N123" s="145">
        <v>222.0</v>
      </c>
      <c r="O123" s="169">
        <v>80.0</v>
      </c>
      <c r="P123" s="145">
        <v>225.0</v>
      </c>
      <c r="Q123" s="145">
        <v>9.0</v>
      </c>
      <c r="R123" s="145">
        <v>0.0</v>
      </c>
      <c r="S123" s="145">
        <v>0.0</v>
      </c>
      <c r="T123" s="147" t="s">
        <v>37</v>
      </c>
      <c r="U123" s="161" t="s">
        <v>721</v>
      </c>
      <c r="V123" s="164" t="s">
        <v>575</v>
      </c>
      <c r="W123" s="161" t="s">
        <v>722</v>
      </c>
      <c r="X123" s="147" t="s">
        <v>573</v>
      </c>
      <c r="Y123" s="147" t="s">
        <v>561</v>
      </c>
      <c r="Z123" s="147" t="s">
        <v>27</v>
      </c>
      <c r="AA123" s="147" t="s">
        <v>557</v>
      </c>
      <c r="AB123" s="147" t="s">
        <v>11</v>
      </c>
      <c r="AC123" s="147" t="s">
        <v>723</v>
      </c>
    </row>
    <row r="124" ht="15.75" customHeight="1">
      <c r="A124" s="141">
        <v>306.0</v>
      </c>
      <c r="B124" s="142" t="s">
        <v>27</v>
      </c>
      <c r="C124" s="143" t="str">
        <f>HYPERLINK("https://azurlane.koumakan.jp/Jupiter","Jupiter")</f>
        <v>Jupiter</v>
      </c>
      <c r="D124" s="142" t="s">
        <v>36</v>
      </c>
      <c r="E124" s="145">
        <v>1573.0</v>
      </c>
      <c r="F124" s="145">
        <v>77.0</v>
      </c>
      <c r="G124" s="145">
        <v>369.0</v>
      </c>
      <c r="H124" s="145">
        <v>0.0</v>
      </c>
      <c r="I124" s="145">
        <v>159.0</v>
      </c>
      <c r="J124" s="145">
        <v>204.0</v>
      </c>
      <c r="K124" s="145">
        <v>270.0</v>
      </c>
      <c r="L124" s="145" t="s">
        <v>29</v>
      </c>
      <c r="M124" s="145">
        <v>43.0</v>
      </c>
      <c r="N124" s="145">
        <v>218.0</v>
      </c>
      <c r="O124" s="145">
        <v>52.0</v>
      </c>
      <c r="P124" s="145">
        <v>213.0</v>
      </c>
      <c r="Q124" s="145">
        <v>8.0</v>
      </c>
      <c r="R124" s="145">
        <v>0.0</v>
      </c>
      <c r="S124" s="145">
        <v>0.0</v>
      </c>
      <c r="T124" s="147" t="s">
        <v>104</v>
      </c>
      <c r="U124" s="161" t="s">
        <v>724</v>
      </c>
      <c r="V124" s="149" t="s">
        <v>551</v>
      </c>
      <c r="W124" s="149" t="s">
        <v>551</v>
      </c>
      <c r="X124" s="147" t="s">
        <v>630</v>
      </c>
      <c r="Y124" s="147" t="s">
        <v>556</v>
      </c>
      <c r="Z124" s="147" t="s">
        <v>27</v>
      </c>
      <c r="AA124" s="147" t="s">
        <v>557</v>
      </c>
      <c r="AB124" s="147" t="s">
        <v>11</v>
      </c>
      <c r="AC124" s="147" t="s">
        <v>604</v>
      </c>
    </row>
    <row r="125" ht="15.75" customHeight="1">
      <c r="A125" s="141">
        <v>307.0</v>
      </c>
      <c r="B125" s="142" t="s">
        <v>27</v>
      </c>
      <c r="C125" s="143" t="str">
        <f>HYPERLINK("https://azurlane.koumakan.jp/Jersey","Jersey")</f>
        <v>Jersey</v>
      </c>
      <c r="D125" s="142" t="s">
        <v>36</v>
      </c>
      <c r="E125" s="145">
        <v>1573.0</v>
      </c>
      <c r="F125" s="145">
        <v>77.0</v>
      </c>
      <c r="G125" s="145">
        <v>369.0</v>
      </c>
      <c r="H125" s="145">
        <v>0.0</v>
      </c>
      <c r="I125" s="145">
        <v>159.0</v>
      </c>
      <c r="J125" s="145">
        <v>204.0</v>
      </c>
      <c r="K125" s="145">
        <v>270.0</v>
      </c>
      <c r="L125" s="145" t="s">
        <v>29</v>
      </c>
      <c r="M125" s="145">
        <v>43.0</v>
      </c>
      <c r="N125" s="145">
        <v>218.0</v>
      </c>
      <c r="O125" s="145">
        <v>20.0</v>
      </c>
      <c r="P125" s="145">
        <v>213.0</v>
      </c>
      <c r="Q125" s="145">
        <v>8.0</v>
      </c>
      <c r="R125" s="145">
        <v>0.0</v>
      </c>
      <c r="S125" s="145">
        <v>0.0</v>
      </c>
      <c r="T125" s="147" t="s">
        <v>104</v>
      </c>
      <c r="U125" s="148" t="s">
        <v>725</v>
      </c>
      <c r="V125" s="149" t="s">
        <v>551</v>
      </c>
      <c r="W125" s="149" t="s">
        <v>551</v>
      </c>
      <c r="X125" s="147" t="s">
        <v>630</v>
      </c>
      <c r="Y125" s="147" t="s">
        <v>556</v>
      </c>
      <c r="Z125" s="147" t="s">
        <v>27</v>
      </c>
      <c r="AA125" s="147" t="s">
        <v>557</v>
      </c>
      <c r="AB125" s="147" t="s">
        <v>11</v>
      </c>
      <c r="AC125" s="147" t="s">
        <v>604</v>
      </c>
    </row>
    <row r="126" ht="15.75" customHeight="1">
      <c r="A126" s="141">
        <v>316.0</v>
      </c>
      <c r="B126" s="142" t="s">
        <v>27</v>
      </c>
      <c r="C126" s="143" t="str">
        <f>HYPERLINK("https://azurlane.koumakan.jp/Urakaze","Urakaze")</f>
        <v>Urakaze</v>
      </c>
      <c r="D126" s="142" t="s">
        <v>36</v>
      </c>
      <c r="E126" s="145">
        <v>2133.0</v>
      </c>
      <c r="F126" s="145">
        <v>64.0</v>
      </c>
      <c r="G126" s="145">
        <v>508.0</v>
      </c>
      <c r="H126" s="145">
        <v>0.0</v>
      </c>
      <c r="I126" s="145">
        <v>152.0</v>
      </c>
      <c r="J126" s="145">
        <v>204.0</v>
      </c>
      <c r="K126" s="145">
        <v>246.0</v>
      </c>
      <c r="L126" s="145" t="s">
        <v>29</v>
      </c>
      <c r="M126" s="145">
        <v>42.0</v>
      </c>
      <c r="N126" s="145">
        <v>206.0</v>
      </c>
      <c r="O126" s="145">
        <v>27.0</v>
      </c>
      <c r="P126" s="145">
        <v>168.0</v>
      </c>
      <c r="Q126" s="145">
        <v>8.0</v>
      </c>
      <c r="R126" s="145">
        <v>0.0</v>
      </c>
      <c r="S126" s="145">
        <v>0.0</v>
      </c>
      <c r="T126" s="170" t="s">
        <v>143</v>
      </c>
      <c r="U126" s="161" t="s">
        <v>726</v>
      </c>
      <c r="V126" s="149" t="s">
        <v>551</v>
      </c>
      <c r="W126" s="149" t="s">
        <v>551</v>
      </c>
      <c r="X126" s="147" t="s">
        <v>664</v>
      </c>
      <c r="Y126" s="147" t="s">
        <v>567</v>
      </c>
      <c r="Z126" s="147" t="s">
        <v>27</v>
      </c>
      <c r="AA126" s="147" t="s">
        <v>557</v>
      </c>
      <c r="AB126" s="147" t="s">
        <v>11</v>
      </c>
      <c r="AC126" s="147" t="s">
        <v>645</v>
      </c>
    </row>
    <row r="127" ht="15.75" customHeight="1">
      <c r="A127" s="141">
        <v>317.0</v>
      </c>
      <c r="B127" s="142" t="s">
        <v>27</v>
      </c>
      <c r="C127" s="143" t="str">
        <f>HYPERLINK("https://azurlane.koumakan.jp/Isokaze","Isokaze")</f>
        <v>Isokaze</v>
      </c>
      <c r="D127" s="142" t="s">
        <v>36</v>
      </c>
      <c r="E127" s="145">
        <v>2133.0</v>
      </c>
      <c r="F127" s="145">
        <v>66.0</v>
      </c>
      <c r="G127" s="145">
        <v>508.0</v>
      </c>
      <c r="H127" s="145">
        <v>0.0</v>
      </c>
      <c r="I127" s="145">
        <v>152.0</v>
      </c>
      <c r="J127" s="145">
        <v>204.0</v>
      </c>
      <c r="K127" s="145">
        <v>246.0</v>
      </c>
      <c r="L127" s="145" t="s">
        <v>29</v>
      </c>
      <c r="M127" s="145">
        <v>42.0</v>
      </c>
      <c r="N127" s="145">
        <v>206.0</v>
      </c>
      <c r="O127" s="145">
        <v>18.0</v>
      </c>
      <c r="P127" s="145">
        <v>201.0</v>
      </c>
      <c r="Q127" s="145">
        <v>8.0</v>
      </c>
      <c r="R127" s="145">
        <v>0.0</v>
      </c>
      <c r="S127" s="145">
        <v>0.0</v>
      </c>
      <c r="T127" s="147" t="s">
        <v>143</v>
      </c>
      <c r="U127" s="148" t="s">
        <v>727</v>
      </c>
      <c r="V127" s="149" t="s">
        <v>551</v>
      </c>
      <c r="W127" s="149" t="s">
        <v>551</v>
      </c>
      <c r="X127" s="147" t="s">
        <v>664</v>
      </c>
      <c r="Y127" s="147" t="s">
        <v>567</v>
      </c>
      <c r="Z127" s="147" t="s">
        <v>27</v>
      </c>
      <c r="AA127" s="147" t="s">
        <v>557</v>
      </c>
      <c r="AB127" s="147" t="s">
        <v>11</v>
      </c>
      <c r="AC127" s="147" t="s">
        <v>645</v>
      </c>
    </row>
    <row r="128" ht="15.75" customHeight="1">
      <c r="A128" s="141">
        <v>318.0</v>
      </c>
      <c r="B128" s="142" t="s">
        <v>27</v>
      </c>
      <c r="C128" s="143" t="str">
        <f>HYPERLINK("https://azurlane.koumakan.jp/Hamakaze","Hamakaze")</f>
        <v>Hamakaze</v>
      </c>
      <c r="D128" s="142" t="s">
        <v>36</v>
      </c>
      <c r="E128" s="145">
        <v>2133.0</v>
      </c>
      <c r="F128" s="145">
        <v>66.0</v>
      </c>
      <c r="G128" s="145">
        <v>518.0</v>
      </c>
      <c r="H128" s="145">
        <v>0.0</v>
      </c>
      <c r="I128" s="145">
        <v>153.0</v>
      </c>
      <c r="J128" s="145">
        <v>204.0</v>
      </c>
      <c r="K128" s="145">
        <v>246.0</v>
      </c>
      <c r="L128" s="145" t="s">
        <v>29</v>
      </c>
      <c r="M128" s="145">
        <v>42.0</v>
      </c>
      <c r="N128" s="145">
        <v>207.0</v>
      </c>
      <c r="O128" s="145">
        <v>58.0</v>
      </c>
      <c r="P128" s="145">
        <v>190.0</v>
      </c>
      <c r="Q128" s="145">
        <v>8.0</v>
      </c>
      <c r="R128" s="145">
        <v>0.0</v>
      </c>
      <c r="S128" s="145">
        <v>0.0</v>
      </c>
      <c r="T128" s="147" t="s">
        <v>143</v>
      </c>
      <c r="U128" s="161" t="s">
        <v>726</v>
      </c>
      <c r="V128" s="149" t="s">
        <v>551</v>
      </c>
      <c r="W128" s="149" t="s">
        <v>551</v>
      </c>
      <c r="X128" s="147" t="s">
        <v>664</v>
      </c>
      <c r="Y128" s="147" t="s">
        <v>567</v>
      </c>
      <c r="Z128" s="147" t="s">
        <v>27</v>
      </c>
      <c r="AA128" s="147" t="s">
        <v>557</v>
      </c>
      <c r="AB128" s="147" t="s">
        <v>11</v>
      </c>
      <c r="AC128" s="147" t="s">
        <v>645</v>
      </c>
    </row>
    <row r="129" ht="15.75" customHeight="1">
      <c r="A129" s="141">
        <v>318.1</v>
      </c>
      <c r="B129" s="142" t="s">
        <v>27</v>
      </c>
      <c r="C129" s="143" t="str">
        <f>HYPERLINK("https://azurlane.koumakan.jp/Hamakaze#Retrofit","Hamakaze (R)")</f>
        <v>Hamakaze (R)</v>
      </c>
      <c r="D129" s="142" t="s">
        <v>28</v>
      </c>
      <c r="E129" s="158">
        <v>2193.0</v>
      </c>
      <c r="F129" s="145">
        <v>76.0</v>
      </c>
      <c r="G129" s="145">
        <v>578.0</v>
      </c>
      <c r="H129" s="145">
        <v>0.0</v>
      </c>
      <c r="I129" s="145">
        <v>153.0</v>
      </c>
      <c r="J129" s="145">
        <v>204.0</v>
      </c>
      <c r="K129" s="145">
        <v>266.0</v>
      </c>
      <c r="L129" s="145" t="s">
        <v>29</v>
      </c>
      <c r="M129" s="145">
        <v>45.0</v>
      </c>
      <c r="N129" s="145">
        <v>207.0</v>
      </c>
      <c r="O129" s="169">
        <v>58.0</v>
      </c>
      <c r="P129" s="145">
        <v>190.0</v>
      </c>
      <c r="Q129" s="145">
        <v>8.0</v>
      </c>
      <c r="R129" s="145">
        <v>0.0</v>
      </c>
      <c r="S129" s="145">
        <v>0.0</v>
      </c>
      <c r="T129" s="147" t="s">
        <v>143</v>
      </c>
      <c r="U129" s="161" t="s">
        <v>726</v>
      </c>
      <c r="V129" s="149" t="s">
        <v>551</v>
      </c>
      <c r="W129" s="161" t="s">
        <v>606</v>
      </c>
      <c r="X129" s="147" t="s">
        <v>664</v>
      </c>
      <c r="Y129" s="147" t="s">
        <v>567</v>
      </c>
      <c r="Z129" s="147" t="s">
        <v>27</v>
      </c>
      <c r="AA129" s="147" t="s">
        <v>557</v>
      </c>
      <c r="AB129" s="147" t="s">
        <v>11</v>
      </c>
      <c r="AC129" s="147" t="s">
        <v>728</v>
      </c>
    </row>
    <row r="130" ht="15.75" customHeight="1">
      <c r="A130" s="141">
        <v>319.0</v>
      </c>
      <c r="B130" s="142" t="s">
        <v>27</v>
      </c>
      <c r="C130" s="143" t="str">
        <f>HYPERLINK("https://azurlane.koumakan.jp/Tanikaze","Tanikaze")</f>
        <v>Tanikaze</v>
      </c>
      <c r="D130" s="142" t="s">
        <v>36</v>
      </c>
      <c r="E130" s="145">
        <v>2133.0</v>
      </c>
      <c r="F130" s="145">
        <v>66.0</v>
      </c>
      <c r="G130" s="145">
        <v>518.0</v>
      </c>
      <c r="H130" s="145">
        <v>0.0</v>
      </c>
      <c r="I130" s="145">
        <v>157.0</v>
      </c>
      <c r="J130" s="145">
        <v>199.0</v>
      </c>
      <c r="K130" s="145">
        <v>246.0</v>
      </c>
      <c r="L130" s="145" t="s">
        <v>29</v>
      </c>
      <c r="M130" s="145">
        <v>42.0</v>
      </c>
      <c r="N130" s="145">
        <v>207.0</v>
      </c>
      <c r="O130" s="145">
        <v>52.0</v>
      </c>
      <c r="P130" s="145">
        <v>168.0</v>
      </c>
      <c r="Q130" s="145">
        <v>8.0</v>
      </c>
      <c r="R130" s="145">
        <v>0.0</v>
      </c>
      <c r="S130" s="145">
        <v>0.0</v>
      </c>
      <c r="T130" s="147" t="s">
        <v>143</v>
      </c>
      <c r="U130" s="161" t="s">
        <v>729</v>
      </c>
      <c r="V130" s="149" t="s">
        <v>551</v>
      </c>
      <c r="W130" s="149" t="s">
        <v>551</v>
      </c>
      <c r="X130" s="147" t="s">
        <v>664</v>
      </c>
      <c r="Y130" s="147" t="s">
        <v>567</v>
      </c>
      <c r="Z130" s="147" t="s">
        <v>27</v>
      </c>
      <c r="AA130" s="147" t="s">
        <v>557</v>
      </c>
      <c r="AB130" s="147" t="s">
        <v>11</v>
      </c>
      <c r="AC130" s="147" t="s">
        <v>645</v>
      </c>
    </row>
    <row r="131" ht="15.75" customHeight="1">
      <c r="A131" s="141">
        <v>319.1</v>
      </c>
      <c r="B131" s="142" t="s">
        <v>27</v>
      </c>
      <c r="C131" s="143" t="str">
        <f>HYPERLINK("https://azurlane.koumakan.jp/Tanikaze#Retrofit","Tanikaze (R)")</f>
        <v>Tanikaze (R)</v>
      </c>
      <c r="D131" s="142" t="s">
        <v>28</v>
      </c>
      <c r="E131" s="144">
        <v>2193.0</v>
      </c>
      <c r="F131" s="145">
        <v>76.0</v>
      </c>
      <c r="G131" s="145">
        <v>578.0</v>
      </c>
      <c r="H131" s="145">
        <v>0.0</v>
      </c>
      <c r="I131" s="145">
        <v>157.0</v>
      </c>
      <c r="J131" s="145">
        <v>199.0</v>
      </c>
      <c r="K131" s="145">
        <v>266.0</v>
      </c>
      <c r="L131" s="145" t="s">
        <v>29</v>
      </c>
      <c r="M131" s="145">
        <v>45.0</v>
      </c>
      <c r="N131" s="145">
        <v>207.0</v>
      </c>
      <c r="O131" s="146">
        <v>52.0</v>
      </c>
      <c r="P131" s="145">
        <v>168.0</v>
      </c>
      <c r="Q131" s="145">
        <v>8.0</v>
      </c>
      <c r="R131" s="145">
        <v>0.0</v>
      </c>
      <c r="S131" s="145">
        <v>0.0</v>
      </c>
      <c r="T131" s="147" t="s">
        <v>143</v>
      </c>
      <c r="U131" s="161" t="s">
        <v>729</v>
      </c>
      <c r="V131" s="149" t="s">
        <v>551</v>
      </c>
      <c r="W131" s="164" t="s">
        <v>730</v>
      </c>
      <c r="X131" s="147" t="s">
        <v>664</v>
      </c>
      <c r="Y131" s="147" t="s">
        <v>567</v>
      </c>
      <c r="Z131" s="147" t="s">
        <v>27</v>
      </c>
      <c r="AA131" s="147" t="s">
        <v>557</v>
      </c>
      <c r="AB131" s="147" t="s">
        <v>11</v>
      </c>
      <c r="AC131" s="147" t="s">
        <v>731</v>
      </c>
    </row>
    <row r="132" ht="15.75" customHeight="1">
      <c r="A132" s="141">
        <v>325.0</v>
      </c>
      <c r="B132" s="142" t="s">
        <v>27</v>
      </c>
      <c r="C132" s="143" t="str">
        <f>HYPERLINK("https://azurlane.koumakan.jp/Matchless","Matchless")</f>
        <v>Matchless</v>
      </c>
      <c r="D132" s="142" t="s">
        <v>28</v>
      </c>
      <c r="E132" s="145">
        <v>1724.0</v>
      </c>
      <c r="F132" s="145">
        <v>77.0</v>
      </c>
      <c r="G132" s="145">
        <v>399.0</v>
      </c>
      <c r="H132" s="145">
        <v>0.0</v>
      </c>
      <c r="I132" s="145">
        <v>160.0</v>
      </c>
      <c r="J132" s="145">
        <v>204.0</v>
      </c>
      <c r="K132" s="145">
        <v>270.0</v>
      </c>
      <c r="L132" s="145" t="s">
        <v>29</v>
      </c>
      <c r="M132" s="145">
        <v>43.0</v>
      </c>
      <c r="N132" s="145">
        <v>203.0</v>
      </c>
      <c r="O132" s="145">
        <v>76.0</v>
      </c>
      <c r="P132" s="145">
        <v>226.0</v>
      </c>
      <c r="Q132" s="145">
        <v>9.0</v>
      </c>
      <c r="R132" s="145">
        <v>0.0</v>
      </c>
      <c r="S132" s="145">
        <v>0.0</v>
      </c>
      <c r="T132" s="160" t="s">
        <v>104</v>
      </c>
      <c r="U132" s="164" t="s">
        <v>730</v>
      </c>
      <c r="V132" s="148" t="s">
        <v>603</v>
      </c>
      <c r="W132" s="149" t="s">
        <v>551</v>
      </c>
      <c r="X132" s="147" t="s">
        <v>732</v>
      </c>
      <c r="Y132" s="147" t="s">
        <v>556</v>
      </c>
      <c r="Z132" s="147" t="s">
        <v>27</v>
      </c>
      <c r="AA132" s="147" t="s">
        <v>557</v>
      </c>
      <c r="AB132" s="147" t="s">
        <v>11</v>
      </c>
      <c r="AC132" s="147" t="s">
        <v>733</v>
      </c>
    </row>
    <row r="133" ht="15.75" customHeight="1">
      <c r="A133" s="141">
        <v>326.0</v>
      </c>
      <c r="B133" s="142" t="s">
        <v>27</v>
      </c>
      <c r="C133" s="143" t="str">
        <f>HYPERLINK("https://azurlane.koumakan.jp/Musketeer","Musketeer")</f>
        <v>Musketeer</v>
      </c>
      <c r="D133" s="185" t="s">
        <v>28</v>
      </c>
      <c r="E133" s="145">
        <v>1724.0</v>
      </c>
      <c r="F133" s="145">
        <v>77.0</v>
      </c>
      <c r="G133" s="145">
        <v>405.0</v>
      </c>
      <c r="H133" s="145">
        <v>0.0</v>
      </c>
      <c r="I133" s="145">
        <v>160.0</v>
      </c>
      <c r="J133" s="145">
        <v>204.0</v>
      </c>
      <c r="K133" s="145">
        <v>270.0</v>
      </c>
      <c r="L133" s="145" t="s">
        <v>29</v>
      </c>
      <c r="M133" s="145">
        <v>43.0</v>
      </c>
      <c r="N133" s="145">
        <v>200.0</v>
      </c>
      <c r="O133" s="145">
        <v>67.0</v>
      </c>
      <c r="P133" s="145">
        <v>226.0</v>
      </c>
      <c r="Q133" s="145">
        <v>9.0</v>
      </c>
      <c r="R133" s="145">
        <v>0.0</v>
      </c>
      <c r="S133" s="145">
        <v>0.0</v>
      </c>
      <c r="T133" s="147" t="s">
        <v>104</v>
      </c>
      <c r="U133" s="164" t="s">
        <v>734</v>
      </c>
      <c r="V133" s="149" t="s">
        <v>551</v>
      </c>
      <c r="W133" s="149" t="s">
        <v>551</v>
      </c>
      <c r="X133" s="147" t="s">
        <v>732</v>
      </c>
      <c r="Y133" s="147" t="s">
        <v>556</v>
      </c>
      <c r="Z133" s="147" t="s">
        <v>27</v>
      </c>
      <c r="AA133" s="147" t="s">
        <v>557</v>
      </c>
      <c r="AB133" s="147" t="s">
        <v>11</v>
      </c>
      <c r="AC133" s="147" t="s">
        <v>733</v>
      </c>
    </row>
    <row r="134" ht="15.75" customHeight="1">
      <c r="A134" s="141">
        <v>331.0</v>
      </c>
      <c r="B134" s="142" t="s">
        <v>27</v>
      </c>
      <c r="C134" s="143" t="str">
        <f>HYPERLINK("https://azurlane.koumakan.jp/Asashio","Asashio")</f>
        <v>Asashio</v>
      </c>
      <c r="D134" s="142" t="s">
        <v>36</v>
      </c>
      <c r="E134" s="145">
        <v>1984.0</v>
      </c>
      <c r="F134" s="145">
        <v>63.0</v>
      </c>
      <c r="G134" s="145">
        <v>514.0</v>
      </c>
      <c r="H134" s="145">
        <v>0.0</v>
      </c>
      <c r="I134" s="145">
        <v>152.0</v>
      </c>
      <c r="J134" s="145">
        <v>199.0</v>
      </c>
      <c r="K134" s="145">
        <v>246.0</v>
      </c>
      <c r="L134" s="145" t="s">
        <v>29</v>
      </c>
      <c r="M134" s="145">
        <v>42.0</v>
      </c>
      <c r="N134" s="145">
        <v>205.0</v>
      </c>
      <c r="O134" s="145">
        <v>32.0</v>
      </c>
      <c r="P134" s="145">
        <v>192.0</v>
      </c>
      <c r="Q134" s="145">
        <v>8.0</v>
      </c>
      <c r="R134" s="145">
        <v>0.0</v>
      </c>
      <c r="S134" s="145">
        <v>0.0</v>
      </c>
      <c r="T134" s="170" t="s">
        <v>143</v>
      </c>
      <c r="U134" s="148" t="s">
        <v>735</v>
      </c>
      <c r="V134" s="161" t="s">
        <v>736</v>
      </c>
      <c r="W134" s="149" t="s">
        <v>551</v>
      </c>
      <c r="X134" s="147" t="s">
        <v>737</v>
      </c>
      <c r="Y134" s="147" t="s">
        <v>567</v>
      </c>
      <c r="Z134" s="147" t="s">
        <v>27</v>
      </c>
      <c r="AA134" s="147" t="s">
        <v>557</v>
      </c>
      <c r="AB134" s="147" t="s">
        <v>11</v>
      </c>
      <c r="AC134" s="147" t="s">
        <v>645</v>
      </c>
    </row>
    <row r="135" ht="15.75" customHeight="1">
      <c r="A135" s="141">
        <v>332.0</v>
      </c>
      <c r="B135" s="142" t="s">
        <v>27</v>
      </c>
      <c r="C135" s="143" t="str">
        <f>HYPERLINK("https://azurlane.koumakan.jp/Ooshio","Ooshio")</f>
        <v>Ooshio</v>
      </c>
      <c r="D135" s="142" t="s">
        <v>36</v>
      </c>
      <c r="E135" s="165">
        <v>1984.0</v>
      </c>
      <c r="F135" s="145">
        <v>63.0</v>
      </c>
      <c r="G135" s="145">
        <v>515.0</v>
      </c>
      <c r="H135" s="145">
        <v>0.0</v>
      </c>
      <c r="I135" s="145">
        <v>153.0</v>
      </c>
      <c r="J135" s="145">
        <v>199.0</v>
      </c>
      <c r="K135" s="145">
        <v>246.0</v>
      </c>
      <c r="L135" s="145" t="s">
        <v>29</v>
      </c>
      <c r="M135" s="145">
        <v>42.0</v>
      </c>
      <c r="N135" s="145">
        <v>206.0</v>
      </c>
      <c r="O135" s="166">
        <v>40.0</v>
      </c>
      <c r="P135" s="145">
        <v>174.0</v>
      </c>
      <c r="Q135" s="145">
        <v>8.0</v>
      </c>
      <c r="R135" s="145">
        <v>0.0</v>
      </c>
      <c r="S135" s="145">
        <v>0.0</v>
      </c>
      <c r="T135" s="147" t="s">
        <v>143</v>
      </c>
      <c r="U135" s="161" t="s">
        <v>736</v>
      </c>
      <c r="V135" s="149" t="s">
        <v>551</v>
      </c>
      <c r="W135" s="149" t="s">
        <v>551</v>
      </c>
      <c r="X135" s="147" t="s">
        <v>737</v>
      </c>
      <c r="Y135" s="147" t="s">
        <v>567</v>
      </c>
      <c r="Z135" s="147" t="s">
        <v>27</v>
      </c>
      <c r="AA135" s="147" t="s">
        <v>557</v>
      </c>
      <c r="AB135" s="147" t="s">
        <v>11</v>
      </c>
      <c r="AC135" s="147" t="s">
        <v>645</v>
      </c>
    </row>
    <row r="136">
      <c r="A136" s="141">
        <v>333.0</v>
      </c>
      <c r="B136" s="142" t="s">
        <v>27</v>
      </c>
      <c r="C136" s="143" t="str">
        <f>HYPERLINK("https://azurlane.koumakan.jp/Michishio","Michishio")</f>
        <v>Michishio</v>
      </c>
      <c r="D136" s="142" t="s">
        <v>36</v>
      </c>
      <c r="E136" s="145">
        <v>2012.0</v>
      </c>
      <c r="F136" s="145">
        <v>63.0</v>
      </c>
      <c r="G136" s="145">
        <v>516.0</v>
      </c>
      <c r="H136" s="145">
        <v>0.0</v>
      </c>
      <c r="I136" s="145">
        <v>153.0</v>
      </c>
      <c r="J136" s="145">
        <v>199.0</v>
      </c>
      <c r="K136" s="145">
        <v>246.0</v>
      </c>
      <c r="L136" s="145" t="s">
        <v>29</v>
      </c>
      <c r="M136" s="145">
        <v>42.0</v>
      </c>
      <c r="N136" s="145">
        <v>207.0</v>
      </c>
      <c r="O136" s="145">
        <v>48.0</v>
      </c>
      <c r="P136" s="145">
        <v>192.0</v>
      </c>
      <c r="Q136" s="145">
        <v>8.0</v>
      </c>
      <c r="R136" s="145">
        <v>0.0</v>
      </c>
      <c r="S136" s="145">
        <v>0.0</v>
      </c>
      <c r="T136" s="147" t="s">
        <v>143</v>
      </c>
      <c r="U136" s="161" t="s">
        <v>724</v>
      </c>
      <c r="V136" s="149" t="s">
        <v>551</v>
      </c>
      <c r="W136" s="149" t="s">
        <v>551</v>
      </c>
      <c r="X136" s="147" t="s">
        <v>737</v>
      </c>
      <c r="Y136" s="147" t="s">
        <v>567</v>
      </c>
      <c r="Z136" s="147" t="s">
        <v>27</v>
      </c>
      <c r="AA136" s="147" t="s">
        <v>557</v>
      </c>
      <c r="AB136" s="147" t="s">
        <v>11</v>
      </c>
      <c r="AC136" s="147" t="s">
        <v>645</v>
      </c>
    </row>
    <row r="137">
      <c r="A137" s="141">
        <v>334.0</v>
      </c>
      <c r="B137" s="142" t="s">
        <v>27</v>
      </c>
      <c r="C137" s="143" t="str">
        <f>HYPERLINK("https://azurlane.koumakan.jp/Arashio","Arashio")</f>
        <v>Arashio</v>
      </c>
      <c r="D137" s="142" t="s">
        <v>36</v>
      </c>
      <c r="E137" s="145">
        <v>1984.0</v>
      </c>
      <c r="F137" s="145">
        <v>63.0</v>
      </c>
      <c r="G137" s="145">
        <v>515.0</v>
      </c>
      <c r="H137" s="145">
        <v>0.0</v>
      </c>
      <c r="I137" s="145">
        <v>152.0</v>
      </c>
      <c r="J137" s="145">
        <v>199.0</v>
      </c>
      <c r="K137" s="145">
        <v>246.0</v>
      </c>
      <c r="L137" s="145" t="s">
        <v>29</v>
      </c>
      <c r="M137" s="145">
        <v>42.0</v>
      </c>
      <c r="N137" s="145">
        <v>206.0</v>
      </c>
      <c r="O137" s="145">
        <v>32.0</v>
      </c>
      <c r="P137" s="145">
        <v>190.0</v>
      </c>
      <c r="Q137" s="145">
        <v>8.0</v>
      </c>
      <c r="R137" s="145">
        <v>0.0</v>
      </c>
      <c r="S137" s="145">
        <v>0.0</v>
      </c>
      <c r="T137" s="147" t="s">
        <v>143</v>
      </c>
      <c r="U137" s="161" t="s">
        <v>738</v>
      </c>
      <c r="V137" s="149" t="s">
        <v>551</v>
      </c>
      <c r="W137" s="149" t="s">
        <v>551</v>
      </c>
      <c r="X137" s="147" t="s">
        <v>737</v>
      </c>
      <c r="Y137" s="147" t="s">
        <v>567</v>
      </c>
      <c r="Z137" s="147" t="s">
        <v>27</v>
      </c>
      <c r="AA137" s="147" t="s">
        <v>557</v>
      </c>
      <c r="AB137" s="147" t="s">
        <v>11</v>
      </c>
      <c r="AC137" s="147" t="s">
        <v>645</v>
      </c>
    </row>
    <row r="138">
      <c r="A138" s="141">
        <v>345.0</v>
      </c>
      <c r="B138" s="142" t="s">
        <v>27</v>
      </c>
      <c r="C138" s="143" t="str">
        <f>HYPERLINK("https://azurlane.koumakan.jp/Z35","Z35")</f>
        <v>Z35</v>
      </c>
      <c r="D138" s="142" t="s">
        <v>28</v>
      </c>
      <c r="E138" s="145">
        <v>2143.0</v>
      </c>
      <c r="F138" s="145">
        <v>82.0</v>
      </c>
      <c r="G138" s="145">
        <v>446.0</v>
      </c>
      <c r="H138" s="145">
        <v>0.0</v>
      </c>
      <c r="I138" s="145">
        <v>186.0</v>
      </c>
      <c r="J138" s="145">
        <v>204.0</v>
      </c>
      <c r="K138" s="145">
        <v>205.0</v>
      </c>
      <c r="L138" s="145" t="s">
        <v>29</v>
      </c>
      <c r="M138" s="145">
        <v>43.0</v>
      </c>
      <c r="N138" s="145">
        <v>203.0</v>
      </c>
      <c r="O138" s="145">
        <v>35.0</v>
      </c>
      <c r="P138" s="145">
        <v>206.0</v>
      </c>
      <c r="Q138" s="145">
        <v>9.0</v>
      </c>
      <c r="R138" s="145">
        <v>0.0</v>
      </c>
      <c r="S138" s="145">
        <v>0.0</v>
      </c>
      <c r="T138" s="147" t="s">
        <v>193</v>
      </c>
      <c r="U138" s="164" t="s">
        <v>739</v>
      </c>
      <c r="V138" s="149" t="s">
        <v>551</v>
      </c>
      <c r="W138" s="149" t="s">
        <v>551</v>
      </c>
      <c r="X138" s="147" t="s">
        <v>740</v>
      </c>
      <c r="Y138" s="147" t="s">
        <v>561</v>
      </c>
      <c r="Z138" s="147" t="s">
        <v>27</v>
      </c>
      <c r="AA138" s="147" t="s">
        <v>557</v>
      </c>
      <c r="AB138" s="147" t="s">
        <v>11</v>
      </c>
      <c r="AC138" s="147" t="s">
        <v>741</v>
      </c>
    </row>
    <row r="139">
      <c r="A139" s="141">
        <v>346.0</v>
      </c>
      <c r="B139" s="142" t="s">
        <v>27</v>
      </c>
      <c r="C139" s="143" t="str">
        <f>HYPERLINK("https://azurlane.koumakan.jp/Z18","Z18")</f>
        <v>Z18</v>
      </c>
      <c r="D139" s="142" t="s">
        <v>36</v>
      </c>
      <c r="E139" s="165">
        <v>2082.0</v>
      </c>
      <c r="F139" s="145">
        <v>69.0</v>
      </c>
      <c r="G139" s="145">
        <v>446.0</v>
      </c>
      <c r="H139" s="145">
        <v>0.0</v>
      </c>
      <c r="I139" s="145">
        <v>152.0</v>
      </c>
      <c r="J139" s="145">
        <v>204.0</v>
      </c>
      <c r="K139" s="145">
        <v>192.0</v>
      </c>
      <c r="L139" s="145" t="s">
        <v>29</v>
      </c>
      <c r="M139" s="145">
        <v>43.0</v>
      </c>
      <c r="N139" s="145">
        <v>205.0</v>
      </c>
      <c r="O139" s="145">
        <v>38.0</v>
      </c>
      <c r="P139" s="145">
        <v>195.0</v>
      </c>
      <c r="Q139" s="145">
        <v>8.0</v>
      </c>
      <c r="R139" s="145">
        <v>0.0</v>
      </c>
      <c r="S139" s="145">
        <v>0.0</v>
      </c>
      <c r="T139" s="147" t="s">
        <v>193</v>
      </c>
      <c r="U139" s="164" t="s">
        <v>689</v>
      </c>
      <c r="V139" s="149" t="s">
        <v>551</v>
      </c>
      <c r="W139" s="149" t="s">
        <v>551</v>
      </c>
      <c r="X139" s="147" t="s">
        <v>690</v>
      </c>
      <c r="Y139" s="147" t="s">
        <v>567</v>
      </c>
      <c r="Z139" s="147" t="s">
        <v>27</v>
      </c>
      <c r="AA139" s="147" t="s">
        <v>557</v>
      </c>
      <c r="AB139" s="147" t="s">
        <v>11</v>
      </c>
      <c r="AC139" s="147" t="s">
        <v>691</v>
      </c>
    </row>
    <row r="140">
      <c r="A140" s="141">
        <v>347.0</v>
      </c>
      <c r="B140" s="142" t="s">
        <v>27</v>
      </c>
      <c r="C140" s="143" t="str">
        <f>HYPERLINK("https://azurlane.koumakan.jp/Le_Triomphant","Le Triomphant")</f>
        <v>Le Triomphant</v>
      </c>
      <c r="D140" s="142" t="s">
        <v>32</v>
      </c>
      <c r="E140" s="165">
        <v>2071.0</v>
      </c>
      <c r="F140" s="145">
        <v>133.0</v>
      </c>
      <c r="G140" s="145">
        <v>271.0</v>
      </c>
      <c r="H140" s="145">
        <v>0.0</v>
      </c>
      <c r="I140" s="145">
        <v>170.0</v>
      </c>
      <c r="J140" s="145">
        <v>210.0</v>
      </c>
      <c r="K140" s="145">
        <v>274.0</v>
      </c>
      <c r="L140" s="145" t="s">
        <v>29</v>
      </c>
      <c r="M140" s="145">
        <v>54.0</v>
      </c>
      <c r="N140" s="145">
        <v>210.0</v>
      </c>
      <c r="O140" s="145">
        <v>77.0</v>
      </c>
      <c r="P140" s="145">
        <v>210.0</v>
      </c>
      <c r="Q140" s="145">
        <v>10.0</v>
      </c>
      <c r="R140" s="145">
        <v>0.0</v>
      </c>
      <c r="S140" s="145">
        <v>0.0</v>
      </c>
      <c r="T140" s="147" t="s">
        <v>243</v>
      </c>
      <c r="U140" s="164" t="s">
        <v>742</v>
      </c>
      <c r="V140" s="148" t="s">
        <v>743</v>
      </c>
      <c r="W140" s="149" t="s">
        <v>551</v>
      </c>
      <c r="X140" s="147" t="s">
        <v>744</v>
      </c>
      <c r="Y140" s="147" t="s">
        <v>561</v>
      </c>
      <c r="Z140" s="147" t="s">
        <v>27</v>
      </c>
      <c r="AA140" s="147" t="s">
        <v>557</v>
      </c>
      <c r="AB140" s="147" t="s">
        <v>11</v>
      </c>
      <c r="AC140" s="147" t="s">
        <v>745</v>
      </c>
    </row>
    <row r="141">
      <c r="A141" s="141">
        <v>348.0</v>
      </c>
      <c r="B141" s="142" t="s">
        <v>27</v>
      </c>
      <c r="C141" s="143" t="str">
        <f>HYPERLINK("https://azurlane.koumakan.jp/Forbin","Forbin")</f>
        <v>Forbin</v>
      </c>
      <c r="D141" s="142" t="s">
        <v>36</v>
      </c>
      <c r="E141" s="165">
        <v>1410.0</v>
      </c>
      <c r="F141" s="145">
        <v>70.0</v>
      </c>
      <c r="G141" s="145">
        <v>415.0</v>
      </c>
      <c r="H141" s="145">
        <v>0.0</v>
      </c>
      <c r="I141" s="145">
        <v>141.0</v>
      </c>
      <c r="J141" s="145">
        <v>196.0</v>
      </c>
      <c r="K141" s="145">
        <v>258.0</v>
      </c>
      <c r="L141" s="145" t="s">
        <v>29</v>
      </c>
      <c r="M141" s="145">
        <v>39.0</v>
      </c>
      <c r="N141" s="145">
        <v>210.0</v>
      </c>
      <c r="O141" s="145">
        <v>69.0</v>
      </c>
      <c r="P141" s="145">
        <v>192.0</v>
      </c>
      <c r="Q141" s="145">
        <v>8.0</v>
      </c>
      <c r="R141" s="145">
        <v>0.0</v>
      </c>
      <c r="S141" s="145">
        <v>0.0</v>
      </c>
      <c r="T141" s="147" t="s">
        <v>243</v>
      </c>
      <c r="U141" s="161" t="s">
        <v>746</v>
      </c>
      <c r="V141" s="149" t="s">
        <v>551</v>
      </c>
      <c r="W141" s="149" t="s">
        <v>551</v>
      </c>
      <c r="X141" s="147" t="s">
        <v>747</v>
      </c>
      <c r="Y141" s="147" t="s">
        <v>556</v>
      </c>
      <c r="Z141" s="147" t="s">
        <v>27</v>
      </c>
      <c r="AA141" s="147" t="s">
        <v>557</v>
      </c>
      <c r="AB141" s="147" t="s">
        <v>11</v>
      </c>
      <c r="AC141" s="147" t="s">
        <v>691</v>
      </c>
    </row>
    <row r="142">
      <c r="A142" s="141">
        <v>348.1</v>
      </c>
      <c r="B142" s="142" t="s">
        <v>27</v>
      </c>
      <c r="C142" s="143" t="str">
        <f>HYPERLINK("https://azurlane.koumakan.jp/Forbin#Retrofit","Forbin (R)")</f>
        <v>Forbin (R)</v>
      </c>
      <c r="D142" s="142" t="s">
        <v>28</v>
      </c>
      <c r="E142" s="144">
        <v>1470.0</v>
      </c>
      <c r="F142" s="145">
        <v>90.0</v>
      </c>
      <c r="G142" s="145">
        <v>445.0</v>
      </c>
      <c r="H142" s="145">
        <v>0.0</v>
      </c>
      <c r="I142" s="145">
        <v>171.0</v>
      </c>
      <c r="J142" s="145">
        <v>196.0</v>
      </c>
      <c r="K142" s="145">
        <v>258.0</v>
      </c>
      <c r="L142" s="145" t="s">
        <v>29</v>
      </c>
      <c r="M142" s="145">
        <v>42.0</v>
      </c>
      <c r="N142" s="145">
        <v>210.0</v>
      </c>
      <c r="O142" s="145">
        <v>69.0</v>
      </c>
      <c r="P142" s="145">
        <v>222.0</v>
      </c>
      <c r="Q142" s="145">
        <v>8.0</v>
      </c>
      <c r="R142" s="145">
        <v>0.0</v>
      </c>
      <c r="S142" s="145">
        <v>0.0</v>
      </c>
      <c r="T142" s="147" t="s">
        <v>243</v>
      </c>
      <c r="U142" s="161" t="s">
        <v>746</v>
      </c>
      <c r="V142" s="149" t="s">
        <v>551</v>
      </c>
      <c r="W142" s="161" t="s">
        <v>606</v>
      </c>
      <c r="X142" s="147" t="s">
        <v>747</v>
      </c>
      <c r="Y142" s="147" t="s">
        <v>556</v>
      </c>
      <c r="Z142" s="147" t="s">
        <v>27</v>
      </c>
      <c r="AA142" s="147" t="s">
        <v>557</v>
      </c>
      <c r="AB142" s="147" t="s">
        <v>11</v>
      </c>
      <c r="AC142" s="147" t="s">
        <v>748</v>
      </c>
    </row>
    <row r="143">
      <c r="A143" s="141">
        <v>351.0</v>
      </c>
      <c r="B143" s="142" t="s">
        <v>27</v>
      </c>
      <c r="C143" s="143" t="str">
        <f>HYPERLINK("https://azurlane.koumakan.jp/Le_Mars","Le Mars")</f>
        <v>Le Mars</v>
      </c>
      <c r="D143" s="142" t="s">
        <v>36</v>
      </c>
      <c r="E143" s="165">
        <v>1410.0</v>
      </c>
      <c r="F143" s="145">
        <v>70.0</v>
      </c>
      <c r="G143" s="145">
        <v>415.0</v>
      </c>
      <c r="H143" s="145">
        <v>0.0</v>
      </c>
      <c r="I143" s="145">
        <v>141.0</v>
      </c>
      <c r="J143" s="145">
        <v>196.0</v>
      </c>
      <c r="K143" s="145">
        <v>258.0</v>
      </c>
      <c r="L143" s="145" t="s">
        <v>29</v>
      </c>
      <c r="M143" s="145">
        <v>39.0</v>
      </c>
      <c r="N143" s="145">
        <v>210.0</v>
      </c>
      <c r="O143" s="145">
        <v>24.0</v>
      </c>
      <c r="P143" s="145">
        <v>190.0</v>
      </c>
      <c r="Q143" s="145">
        <v>8.0</v>
      </c>
      <c r="R143" s="145">
        <v>0.0</v>
      </c>
      <c r="S143" s="145">
        <v>0.0</v>
      </c>
      <c r="T143" s="147" t="s">
        <v>247</v>
      </c>
      <c r="U143" s="164" t="s">
        <v>749</v>
      </c>
      <c r="V143" s="149" t="s">
        <v>551</v>
      </c>
      <c r="W143" s="149" t="s">
        <v>551</v>
      </c>
      <c r="X143" s="147" t="s">
        <v>747</v>
      </c>
      <c r="Y143" s="147" t="s">
        <v>556</v>
      </c>
      <c r="Z143" s="147" t="s">
        <v>27</v>
      </c>
      <c r="AA143" s="147" t="s">
        <v>557</v>
      </c>
      <c r="AB143" s="147" t="s">
        <v>11</v>
      </c>
      <c r="AC143" s="147" t="s">
        <v>691</v>
      </c>
    </row>
    <row r="144">
      <c r="A144" s="141">
        <v>351.1</v>
      </c>
      <c r="B144" s="142" t="s">
        <v>27</v>
      </c>
      <c r="C144" s="143" t="str">
        <f>HYPERLINK("https://azurlane.koumakan.jp/Le_Mars#Retrofit","Le Mars (R)")</f>
        <v>Le Mars (R)</v>
      </c>
      <c r="D144" s="142" t="s">
        <v>28</v>
      </c>
      <c r="E144" s="158">
        <v>1470.0</v>
      </c>
      <c r="F144" s="145">
        <v>90.0</v>
      </c>
      <c r="G144" s="145">
        <v>445.0</v>
      </c>
      <c r="H144" s="145">
        <v>0.0</v>
      </c>
      <c r="I144" s="145">
        <v>186.0</v>
      </c>
      <c r="J144" s="145">
        <v>196.0</v>
      </c>
      <c r="K144" s="145">
        <v>258.0</v>
      </c>
      <c r="L144" s="145" t="s">
        <v>29</v>
      </c>
      <c r="M144" s="145">
        <v>42.0</v>
      </c>
      <c r="N144" s="145">
        <v>210.0</v>
      </c>
      <c r="O144" s="145">
        <v>24.0</v>
      </c>
      <c r="P144" s="145">
        <v>205.0</v>
      </c>
      <c r="Q144" s="145">
        <v>8.0</v>
      </c>
      <c r="R144" s="145">
        <v>0.0</v>
      </c>
      <c r="S144" s="145">
        <v>0.0</v>
      </c>
      <c r="T144" s="147" t="s">
        <v>247</v>
      </c>
      <c r="U144" s="164" t="s">
        <v>749</v>
      </c>
      <c r="V144" s="149" t="s">
        <v>551</v>
      </c>
      <c r="W144" s="161" t="s">
        <v>606</v>
      </c>
      <c r="X144" s="147" t="s">
        <v>747</v>
      </c>
      <c r="Y144" s="147" t="s">
        <v>556</v>
      </c>
      <c r="Z144" s="147" t="s">
        <v>27</v>
      </c>
      <c r="AA144" s="147" t="s">
        <v>557</v>
      </c>
      <c r="AB144" s="147" t="s">
        <v>11</v>
      </c>
      <c r="AC144" s="147" t="s">
        <v>748</v>
      </c>
    </row>
    <row r="145">
      <c r="A145" s="141">
        <v>355.0</v>
      </c>
      <c r="B145" s="142" t="s">
        <v>27</v>
      </c>
      <c r="C145" s="143" t="str">
        <f>HYPERLINK("https://azurlane.koumakan.jp/Bush","Bush")</f>
        <v>Bush</v>
      </c>
      <c r="D145" s="142" t="s">
        <v>36</v>
      </c>
      <c r="E145" s="165">
        <v>2104.0</v>
      </c>
      <c r="F145" s="145">
        <v>87.0</v>
      </c>
      <c r="G145" s="145">
        <v>286.0</v>
      </c>
      <c r="H145" s="145">
        <v>0.0</v>
      </c>
      <c r="I145" s="145">
        <v>193.0</v>
      </c>
      <c r="J145" s="145">
        <v>204.0</v>
      </c>
      <c r="K145" s="145">
        <v>206.0</v>
      </c>
      <c r="L145" s="145" t="s">
        <v>29</v>
      </c>
      <c r="M145" s="145">
        <v>42.0</v>
      </c>
      <c r="N145" s="145">
        <v>224.0</v>
      </c>
      <c r="O145" s="145">
        <v>34.0</v>
      </c>
      <c r="P145" s="145">
        <v>209.0</v>
      </c>
      <c r="Q145" s="145">
        <v>8.0</v>
      </c>
      <c r="R145" s="145">
        <v>0.0</v>
      </c>
      <c r="S145" s="145">
        <v>0.0</v>
      </c>
      <c r="T145" s="147" t="s">
        <v>37</v>
      </c>
      <c r="U145" s="161" t="s">
        <v>750</v>
      </c>
      <c r="V145" s="149" t="s">
        <v>551</v>
      </c>
      <c r="W145" s="149" t="s">
        <v>551</v>
      </c>
      <c r="X145" s="147" t="s">
        <v>573</v>
      </c>
      <c r="Y145" s="147" t="s">
        <v>556</v>
      </c>
      <c r="Z145" s="147" t="s">
        <v>27</v>
      </c>
      <c r="AA145" s="147" t="s">
        <v>557</v>
      </c>
      <c r="AB145" s="147" t="s">
        <v>11</v>
      </c>
      <c r="AC145" s="147" t="s">
        <v>751</v>
      </c>
    </row>
    <row r="146">
      <c r="A146" s="141">
        <v>359.0</v>
      </c>
      <c r="B146" s="142" t="s">
        <v>27</v>
      </c>
      <c r="C146" s="143" t="str">
        <f>HYPERLINK("https://azurlane.koumakan.jp/Le_Temeraire","Le Temeraire")</f>
        <v>Le Temeraire</v>
      </c>
      <c r="D146" s="142" t="s">
        <v>28</v>
      </c>
      <c r="E146" s="165">
        <v>1610.0</v>
      </c>
      <c r="F146" s="145">
        <v>95.0</v>
      </c>
      <c r="G146" s="145">
        <v>399.0</v>
      </c>
      <c r="H146" s="145">
        <v>0.0</v>
      </c>
      <c r="I146" s="145">
        <v>176.0</v>
      </c>
      <c r="J146" s="145">
        <v>194.0</v>
      </c>
      <c r="K146" s="145">
        <v>244.0</v>
      </c>
      <c r="L146" s="145" t="s">
        <v>29</v>
      </c>
      <c r="M146" s="145">
        <v>42.0</v>
      </c>
      <c r="N146" s="145">
        <v>212.0</v>
      </c>
      <c r="O146" s="145">
        <v>41.0</v>
      </c>
      <c r="P146" s="145">
        <v>190.0</v>
      </c>
      <c r="Q146" s="145">
        <v>9.0</v>
      </c>
      <c r="R146" s="145">
        <v>0.0</v>
      </c>
      <c r="S146" s="145">
        <v>0.0</v>
      </c>
      <c r="T146" s="147" t="s">
        <v>243</v>
      </c>
      <c r="U146" s="148" t="s">
        <v>752</v>
      </c>
      <c r="V146" s="161" t="s">
        <v>753</v>
      </c>
      <c r="W146" s="149" t="s">
        <v>551</v>
      </c>
      <c r="X146" s="147" t="s">
        <v>754</v>
      </c>
      <c r="Y146" s="147" t="s">
        <v>556</v>
      </c>
      <c r="Z146" s="147" t="s">
        <v>27</v>
      </c>
      <c r="AA146" s="147" t="s">
        <v>557</v>
      </c>
      <c r="AB146" s="147" t="s">
        <v>11</v>
      </c>
      <c r="AC146" s="147" t="s">
        <v>755</v>
      </c>
    </row>
    <row r="147">
      <c r="A147" s="141">
        <v>362.0</v>
      </c>
      <c r="B147" s="142" t="s">
        <v>27</v>
      </c>
      <c r="C147" s="143" t="str">
        <f>HYPERLINK("https://azurlane.koumakan.jp/Hobby","Hobby")</f>
        <v>Hobby</v>
      </c>
      <c r="D147" s="142" t="s">
        <v>36</v>
      </c>
      <c r="E147" s="145">
        <v>1870.0</v>
      </c>
      <c r="F147" s="145">
        <v>89.0</v>
      </c>
      <c r="G147" s="145">
        <v>324.0</v>
      </c>
      <c r="H147" s="145">
        <v>0.0</v>
      </c>
      <c r="I147" s="145">
        <v>175.0</v>
      </c>
      <c r="J147" s="145">
        <v>207.0</v>
      </c>
      <c r="K147" s="145">
        <v>210.0</v>
      </c>
      <c r="L147" s="145" t="s">
        <v>29</v>
      </c>
      <c r="M147" s="145">
        <v>45.0</v>
      </c>
      <c r="N147" s="145">
        <v>207.0</v>
      </c>
      <c r="O147" s="145">
        <v>68.0</v>
      </c>
      <c r="P147" s="145">
        <v>215.0</v>
      </c>
      <c r="Q147" s="145">
        <v>8.0</v>
      </c>
      <c r="R147" s="145">
        <v>0.0</v>
      </c>
      <c r="S147" s="145">
        <v>0.0</v>
      </c>
      <c r="T147" s="147" t="s">
        <v>37</v>
      </c>
      <c r="U147" s="148" t="s">
        <v>756</v>
      </c>
      <c r="V147" s="149" t="s">
        <v>551</v>
      </c>
      <c r="W147" s="149" t="s">
        <v>551</v>
      </c>
      <c r="X147" s="147" t="s">
        <v>578</v>
      </c>
      <c r="Y147" s="147" t="s">
        <v>556</v>
      </c>
      <c r="Z147" s="147" t="s">
        <v>27</v>
      </c>
      <c r="AA147" s="147" t="s">
        <v>557</v>
      </c>
      <c r="AB147" s="147" t="s">
        <v>11</v>
      </c>
      <c r="AC147" s="147" t="s">
        <v>579</v>
      </c>
    </row>
    <row r="148">
      <c r="A148" s="141">
        <v>363.0</v>
      </c>
      <c r="B148" s="142" t="s">
        <v>27</v>
      </c>
      <c r="C148" s="143" t="str">
        <f>HYPERLINK("https://azurlane.koumakan.jp/Kalk","Kalk")</f>
        <v>Kalk</v>
      </c>
      <c r="D148" s="142" t="s">
        <v>36</v>
      </c>
      <c r="E148" s="145">
        <v>1870.0</v>
      </c>
      <c r="F148" s="145">
        <v>89.0</v>
      </c>
      <c r="G148" s="145">
        <v>324.0</v>
      </c>
      <c r="H148" s="145">
        <v>0.0</v>
      </c>
      <c r="I148" s="145">
        <v>175.0</v>
      </c>
      <c r="J148" s="145">
        <v>207.0</v>
      </c>
      <c r="K148" s="145">
        <v>210.0</v>
      </c>
      <c r="L148" s="145" t="s">
        <v>29</v>
      </c>
      <c r="M148" s="145">
        <v>45.0</v>
      </c>
      <c r="N148" s="145">
        <v>207.0</v>
      </c>
      <c r="O148" s="145">
        <v>75.0</v>
      </c>
      <c r="P148" s="145">
        <v>196.0</v>
      </c>
      <c r="Q148" s="145">
        <v>8.0</v>
      </c>
      <c r="R148" s="145">
        <v>0.0</v>
      </c>
      <c r="S148" s="145">
        <v>0.0</v>
      </c>
      <c r="T148" s="147" t="s">
        <v>37</v>
      </c>
      <c r="U148" s="161" t="s">
        <v>757</v>
      </c>
      <c r="V148" s="149" t="s">
        <v>551</v>
      </c>
      <c r="W148" s="149" t="s">
        <v>551</v>
      </c>
      <c r="X148" s="147" t="s">
        <v>578</v>
      </c>
      <c r="Y148" s="147" t="s">
        <v>556</v>
      </c>
      <c r="Z148" s="147" t="s">
        <v>27</v>
      </c>
      <c r="AA148" s="147" t="s">
        <v>557</v>
      </c>
      <c r="AB148" s="147" t="s">
        <v>11</v>
      </c>
      <c r="AC148" s="147" t="s">
        <v>579</v>
      </c>
    </row>
    <row r="149">
      <c r="A149" s="141">
        <v>365.0</v>
      </c>
      <c r="B149" s="142" t="s">
        <v>27</v>
      </c>
      <c r="C149" s="143" t="str">
        <f>HYPERLINK("https://azurlane.koumakan.jp/Hazelwood","Hazelwood")</f>
        <v>Hazelwood</v>
      </c>
      <c r="D149" s="142" t="s">
        <v>36</v>
      </c>
      <c r="E149" s="145">
        <v>2104.0</v>
      </c>
      <c r="F149" s="145">
        <v>87.0</v>
      </c>
      <c r="G149" s="145">
        <v>287.0</v>
      </c>
      <c r="H149" s="145">
        <v>0.0</v>
      </c>
      <c r="I149" s="145">
        <v>176.0</v>
      </c>
      <c r="J149" s="145">
        <v>206.0</v>
      </c>
      <c r="K149" s="145">
        <v>206.0</v>
      </c>
      <c r="L149" s="145" t="s">
        <v>29</v>
      </c>
      <c r="M149" s="145">
        <v>42.0</v>
      </c>
      <c r="N149" s="145">
        <v>222.0</v>
      </c>
      <c r="O149" s="145">
        <v>75.0</v>
      </c>
      <c r="P149" s="145">
        <v>222.0</v>
      </c>
      <c r="Q149" s="145">
        <v>8.0</v>
      </c>
      <c r="R149" s="145">
        <v>0.0</v>
      </c>
      <c r="S149" s="145">
        <v>0.0</v>
      </c>
      <c r="T149" s="147" t="s">
        <v>37</v>
      </c>
      <c r="U149" s="148" t="s">
        <v>577</v>
      </c>
      <c r="V149" s="149" t="s">
        <v>551</v>
      </c>
      <c r="W149" s="149" t="s">
        <v>551</v>
      </c>
      <c r="X149" s="147" t="s">
        <v>573</v>
      </c>
      <c r="Y149" s="147" t="s">
        <v>556</v>
      </c>
      <c r="Z149" s="147" t="s">
        <v>27</v>
      </c>
      <c r="AA149" s="147" t="s">
        <v>557</v>
      </c>
      <c r="AB149" s="147" t="s">
        <v>11</v>
      </c>
      <c r="AC149" s="147" t="s">
        <v>558</v>
      </c>
    </row>
    <row r="150">
      <c r="A150" s="141">
        <v>369.0</v>
      </c>
      <c r="B150" s="142" t="s">
        <v>27</v>
      </c>
      <c r="C150" s="143" t="str">
        <f>HYPERLINK("https://azurlane.koumakan.jp/Hatakaze","Hatakaze")</f>
        <v>Hatakaze</v>
      </c>
      <c r="D150" s="142" t="s">
        <v>36</v>
      </c>
      <c r="E150" s="145">
        <v>1599.0</v>
      </c>
      <c r="F150" s="145">
        <v>61.0</v>
      </c>
      <c r="G150" s="145">
        <v>409.0</v>
      </c>
      <c r="H150" s="145">
        <v>0.0</v>
      </c>
      <c r="I150" s="145">
        <v>142.0</v>
      </c>
      <c r="J150" s="145">
        <v>205.0</v>
      </c>
      <c r="K150" s="145">
        <v>250.0</v>
      </c>
      <c r="L150" s="145" t="s">
        <v>29</v>
      </c>
      <c r="M150" s="145">
        <v>44.0</v>
      </c>
      <c r="N150" s="145">
        <v>206.0</v>
      </c>
      <c r="O150" s="145">
        <v>87.0</v>
      </c>
      <c r="P150" s="145">
        <v>192.0</v>
      </c>
      <c r="Q150" s="145">
        <v>7.0</v>
      </c>
      <c r="R150" s="145">
        <v>0.0</v>
      </c>
      <c r="S150" s="145">
        <v>0.0</v>
      </c>
      <c r="T150" s="186" t="s">
        <v>143</v>
      </c>
      <c r="U150" s="161" t="s">
        <v>753</v>
      </c>
      <c r="V150" s="149" t="s">
        <v>551</v>
      </c>
      <c r="W150" s="149" t="s">
        <v>551</v>
      </c>
      <c r="X150" s="147" t="s">
        <v>701</v>
      </c>
      <c r="Y150" s="147" t="s">
        <v>556</v>
      </c>
      <c r="Z150" s="147" t="s">
        <v>27</v>
      </c>
      <c r="AA150" s="147" t="s">
        <v>557</v>
      </c>
      <c r="AB150" s="147" t="s">
        <v>11</v>
      </c>
      <c r="AC150" s="147" t="s">
        <v>702</v>
      </c>
    </row>
    <row r="151">
      <c r="A151" s="141">
        <v>370.0</v>
      </c>
      <c r="B151" s="185" t="s">
        <v>27</v>
      </c>
      <c r="C151" s="187" t="str">
        <f>HYPERLINK("https://azurlane.koumakan.jp/Makinami","Makinami")</f>
        <v>Makinami</v>
      </c>
      <c r="D151" s="185" t="s">
        <v>28</v>
      </c>
      <c r="E151" s="165">
        <v>2210.0</v>
      </c>
      <c r="F151" s="165">
        <v>71.0</v>
      </c>
      <c r="G151" s="165">
        <v>532.0</v>
      </c>
      <c r="H151" s="165">
        <v>0.0</v>
      </c>
      <c r="I151" s="165">
        <v>159.0</v>
      </c>
      <c r="J151" s="165">
        <v>218.0</v>
      </c>
      <c r="K151" s="165">
        <v>246.0</v>
      </c>
      <c r="L151" s="165" t="s">
        <v>29</v>
      </c>
      <c r="M151" s="165">
        <v>42.0</v>
      </c>
      <c r="N151" s="165">
        <v>212.0</v>
      </c>
      <c r="O151" s="165">
        <v>40.0</v>
      </c>
      <c r="P151" s="165">
        <v>196.0</v>
      </c>
      <c r="Q151" s="165">
        <v>9.0</v>
      </c>
      <c r="R151" s="165">
        <v>0.0</v>
      </c>
      <c r="S151" s="165">
        <v>0.0</v>
      </c>
      <c r="T151" s="147" t="s">
        <v>143</v>
      </c>
      <c r="U151" s="188" t="s">
        <v>575</v>
      </c>
      <c r="V151" s="188" t="s">
        <v>565</v>
      </c>
      <c r="W151" s="159" t="s">
        <v>551</v>
      </c>
      <c r="X151" s="160" t="s">
        <v>716</v>
      </c>
      <c r="Y151" s="160" t="s">
        <v>567</v>
      </c>
      <c r="Z151" s="160" t="s">
        <v>27</v>
      </c>
      <c r="AA151" s="160" t="s">
        <v>557</v>
      </c>
      <c r="AB151" s="160" t="s">
        <v>11</v>
      </c>
      <c r="AC151" s="160" t="s">
        <v>665</v>
      </c>
    </row>
    <row r="152">
      <c r="A152" s="156">
        <v>374.0</v>
      </c>
      <c r="B152" s="159" t="s">
        <v>27</v>
      </c>
      <c r="C152" s="189" t="str">
        <f>HYPERLINK("https://azurlane.koumakan.jp/Kimberly","Kimberly")</f>
        <v>Kimberly</v>
      </c>
      <c r="D152" s="185" t="s">
        <v>36</v>
      </c>
      <c r="E152" s="165">
        <v>2104.0</v>
      </c>
      <c r="F152" s="165">
        <v>84.0</v>
      </c>
      <c r="G152" s="165">
        <v>287.0</v>
      </c>
      <c r="H152" s="165">
        <v>0.0</v>
      </c>
      <c r="I152" s="165">
        <v>186.0</v>
      </c>
      <c r="J152" s="165">
        <v>204.0</v>
      </c>
      <c r="K152" s="165">
        <v>206.0</v>
      </c>
      <c r="L152" s="165" t="s">
        <v>29</v>
      </c>
      <c r="M152" s="165">
        <v>42.0</v>
      </c>
      <c r="N152" s="165">
        <v>224.0</v>
      </c>
      <c r="O152" s="165">
        <v>77.0</v>
      </c>
      <c r="P152" s="165">
        <v>209.0</v>
      </c>
      <c r="Q152" s="165">
        <v>8.0</v>
      </c>
      <c r="R152" s="165">
        <v>0.0</v>
      </c>
      <c r="S152" s="165">
        <v>0.0</v>
      </c>
      <c r="T152" s="147" t="s">
        <v>37</v>
      </c>
      <c r="U152" s="190" t="s">
        <v>758</v>
      </c>
      <c r="V152" s="159" t="s">
        <v>551</v>
      </c>
      <c r="W152" s="159" t="s">
        <v>551</v>
      </c>
      <c r="X152" s="147" t="s">
        <v>573</v>
      </c>
      <c r="Y152" s="160" t="s">
        <v>556</v>
      </c>
      <c r="Z152" s="160" t="s">
        <v>27</v>
      </c>
      <c r="AA152" s="160" t="s">
        <v>557</v>
      </c>
      <c r="AB152" s="160" t="s">
        <v>11</v>
      </c>
      <c r="AC152" s="147" t="s">
        <v>558</v>
      </c>
    </row>
    <row r="153">
      <c r="A153" s="156">
        <v>375.0</v>
      </c>
      <c r="B153" s="159" t="s">
        <v>27</v>
      </c>
      <c r="C153" s="189" t="str">
        <f>HYPERLINK("https://azurlane.koumakan.jp/Mullany","Mullany")</f>
        <v>Mullany</v>
      </c>
      <c r="D153" s="185" t="s">
        <v>28</v>
      </c>
      <c r="E153" s="165">
        <v>2167.0</v>
      </c>
      <c r="F153" s="165">
        <v>91.0</v>
      </c>
      <c r="G153" s="165">
        <v>295.0</v>
      </c>
      <c r="H153" s="165">
        <v>0.0</v>
      </c>
      <c r="I153" s="165">
        <v>176.0</v>
      </c>
      <c r="J153" s="165">
        <v>209.0</v>
      </c>
      <c r="K153" s="165">
        <v>206.0</v>
      </c>
      <c r="L153" s="165" t="s">
        <v>29</v>
      </c>
      <c r="M153" s="165">
        <v>42.0</v>
      </c>
      <c r="N153" s="165">
        <v>221.0</v>
      </c>
      <c r="O153" s="165">
        <v>89.0</v>
      </c>
      <c r="P153" s="165">
        <v>215.0</v>
      </c>
      <c r="Q153" s="165">
        <v>9.0</v>
      </c>
      <c r="R153" s="165">
        <v>0.0</v>
      </c>
      <c r="S153" s="165">
        <v>0.0</v>
      </c>
      <c r="T153" s="147" t="s">
        <v>37</v>
      </c>
      <c r="U153" s="161" t="s">
        <v>759</v>
      </c>
      <c r="V153" s="159" t="s">
        <v>551</v>
      </c>
      <c r="W153" s="159" t="s">
        <v>551</v>
      </c>
      <c r="X153" s="147" t="s">
        <v>573</v>
      </c>
      <c r="Y153" s="160" t="s">
        <v>556</v>
      </c>
      <c r="Z153" s="160" t="s">
        <v>27</v>
      </c>
      <c r="AA153" s="160" t="s">
        <v>557</v>
      </c>
      <c r="AB153" s="160" t="s">
        <v>11</v>
      </c>
      <c r="AC153" s="147" t="s">
        <v>576</v>
      </c>
    </row>
    <row r="154">
      <c r="A154" s="156">
        <v>379.0</v>
      </c>
      <c r="B154" s="159" t="s">
        <v>27</v>
      </c>
      <c r="C154" s="189" t="str">
        <f>HYPERLINK("https://azurlane.koumakan.jp/Z2","Z2")</f>
        <v>Z2</v>
      </c>
      <c r="D154" s="185" t="s">
        <v>28</v>
      </c>
      <c r="E154" s="165">
        <v>2102.0</v>
      </c>
      <c r="F154" s="165">
        <v>85.0</v>
      </c>
      <c r="G154" s="165">
        <v>438.0</v>
      </c>
      <c r="H154" s="165">
        <v>0.0</v>
      </c>
      <c r="I154" s="165">
        <v>157.0</v>
      </c>
      <c r="J154" s="165">
        <v>209.0</v>
      </c>
      <c r="K154" s="165">
        <v>192.0</v>
      </c>
      <c r="L154" s="165" t="s">
        <v>29</v>
      </c>
      <c r="M154" s="165">
        <v>43.0</v>
      </c>
      <c r="N154" s="165">
        <v>197.0</v>
      </c>
      <c r="O154" s="165">
        <v>44.0</v>
      </c>
      <c r="P154" s="165">
        <v>200.0</v>
      </c>
      <c r="Q154" s="165">
        <v>9.0</v>
      </c>
      <c r="R154" s="165">
        <v>0.0</v>
      </c>
      <c r="S154" s="165">
        <v>0.0</v>
      </c>
      <c r="T154" s="160" t="s">
        <v>193</v>
      </c>
      <c r="U154" s="188" t="s">
        <v>689</v>
      </c>
      <c r="V154" s="188" t="s">
        <v>760</v>
      </c>
      <c r="W154" s="159" t="s">
        <v>551</v>
      </c>
      <c r="X154" s="160" t="s">
        <v>761</v>
      </c>
      <c r="Y154" s="160" t="s">
        <v>567</v>
      </c>
      <c r="Z154" s="147" t="s">
        <v>27</v>
      </c>
      <c r="AA154" s="147" t="s">
        <v>557</v>
      </c>
      <c r="AB154" s="147" t="s">
        <v>11</v>
      </c>
      <c r="AC154" s="160" t="s">
        <v>672</v>
      </c>
    </row>
    <row r="155">
      <c r="A155" s="156">
        <v>388.0</v>
      </c>
      <c r="B155" s="159" t="s">
        <v>27</v>
      </c>
      <c r="C155" s="189" t="str">
        <f>HYPERLINK("https://azurlane.koumakan.jp/Z36","Z36")</f>
        <v>Z36</v>
      </c>
      <c r="D155" s="159" t="s">
        <v>28</v>
      </c>
      <c r="E155" s="144">
        <v>2143.0</v>
      </c>
      <c r="F155" s="144">
        <v>84.0</v>
      </c>
      <c r="G155" s="144">
        <v>443.0</v>
      </c>
      <c r="H155" s="144">
        <v>0.0</v>
      </c>
      <c r="I155" s="144">
        <v>182.0</v>
      </c>
      <c r="J155" s="144">
        <v>212.0</v>
      </c>
      <c r="K155" s="144">
        <v>205.0</v>
      </c>
      <c r="L155" s="144" t="s">
        <v>29</v>
      </c>
      <c r="M155" s="144">
        <v>43.0</v>
      </c>
      <c r="N155" s="144">
        <v>210.0</v>
      </c>
      <c r="O155" s="144">
        <v>36.0</v>
      </c>
      <c r="P155" s="144">
        <v>203.0</v>
      </c>
      <c r="Q155" s="144">
        <v>9.0</v>
      </c>
      <c r="R155" s="144">
        <v>0.0</v>
      </c>
      <c r="S155" s="144">
        <v>0.0</v>
      </c>
      <c r="T155" s="160" t="s">
        <v>193</v>
      </c>
      <c r="U155" s="164" t="s">
        <v>762</v>
      </c>
      <c r="V155" s="149" t="s">
        <v>551</v>
      </c>
      <c r="W155" s="159" t="s">
        <v>551</v>
      </c>
      <c r="X155" s="147" t="s">
        <v>740</v>
      </c>
      <c r="Y155" s="147" t="s">
        <v>561</v>
      </c>
      <c r="Z155" s="147" t="s">
        <v>27</v>
      </c>
      <c r="AA155" s="147" t="s">
        <v>557</v>
      </c>
      <c r="AB155" s="147" t="s">
        <v>11</v>
      </c>
      <c r="AC155" s="160" t="s">
        <v>763</v>
      </c>
    </row>
    <row r="156">
      <c r="A156" s="156">
        <v>389.0</v>
      </c>
      <c r="B156" s="159" t="s">
        <v>27</v>
      </c>
      <c r="C156" s="189" t="str">
        <f>HYPERLINK("https://azurlane.koumakan.jp/Echo","Echo")</f>
        <v>Echo</v>
      </c>
      <c r="D156" s="159" t="s">
        <v>36</v>
      </c>
      <c r="E156" s="144">
        <v>1434.0</v>
      </c>
      <c r="F156" s="144">
        <v>74.0</v>
      </c>
      <c r="G156" s="144">
        <v>365.0</v>
      </c>
      <c r="H156" s="144">
        <v>0.0</v>
      </c>
      <c r="I156" s="144">
        <v>155.0</v>
      </c>
      <c r="J156" s="144">
        <v>196.0</v>
      </c>
      <c r="K156" s="144">
        <v>269.0</v>
      </c>
      <c r="L156" s="144" t="s">
        <v>29</v>
      </c>
      <c r="M156" s="144">
        <v>42.0</v>
      </c>
      <c r="N156" s="144">
        <v>200.0</v>
      </c>
      <c r="O156" s="144">
        <v>65.0</v>
      </c>
      <c r="P156" s="144">
        <v>210.0</v>
      </c>
      <c r="Q156" s="144">
        <v>8.0</v>
      </c>
      <c r="R156" s="144">
        <v>0.0</v>
      </c>
      <c r="S156" s="144">
        <v>0.0</v>
      </c>
      <c r="T156" s="160" t="s">
        <v>104</v>
      </c>
      <c r="U156" s="161" t="s">
        <v>724</v>
      </c>
      <c r="V156" s="159" t="s">
        <v>551</v>
      </c>
      <c r="W156" s="159" t="s">
        <v>551</v>
      </c>
      <c r="X156" s="147" t="s">
        <v>764</v>
      </c>
      <c r="Y156" s="147" t="s">
        <v>556</v>
      </c>
      <c r="Z156" s="147" t="s">
        <v>27</v>
      </c>
      <c r="AA156" s="147" t="s">
        <v>557</v>
      </c>
      <c r="AB156" s="147" t="s">
        <v>11</v>
      </c>
      <c r="AC156" s="160" t="s">
        <v>604</v>
      </c>
    </row>
    <row r="157">
      <c r="A157" s="182">
        <v>394.0</v>
      </c>
      <c r="B157" s="183" t="s">
        <v>27</v>
      </c>
      <c r="C157" s="152" t="str">
        <f>HYPERLINK("https://azurlane.koumakan.jp/Le_Malin","Le Malin")</f>
        <v>Le Malin</v>
      </c>
      <c r="D157" s="170" t="s">
        <v>32</v>
      </c>
      <c r="E157" s="191">
        <v>2071.0</v>
      </c>
      <c r="F157" s="170">
        <v>139.0</v>
      </c>
      <c r="G157" s="170">
        <v>276.0</v>
      </c>
      <c r="H157" s="170">
        <v>0.0</v>
      </c>
      <c r="I157" s="170">
        <v>141.0</v>
      </c>
      <c r="J157" s="170">
        <v>209.0</v>
      </c>
      <c r="K157" s="170">
        <v>274.0</v>
      </c>
      <c r="L157" s="170" t="s">
        <v>29</v>
      </c>
      <c r="M157" s="170">
        <v>54.0</v>
      </c>
      <c r="N157" s="170">
        <v>209.0</v>
      </c>
      <c r="O157" s="192">
        <v>51.0</v>
      </c>
      <c r="P157" s="170">
        <v>195.0</v>
      </c>
      <c r="Q157" s="170">
        <v>10.0</v>
      </c>
      <c r="R157" s="170">
        <v>0.0</v>
      </c>
      <c r="S157" s="170">
        <v>0.0</v>
      </c>
      <c r="T157" s="147" t="s">
        <v>247</v>
      </c>
      <c r="U157" s="193" t="s">
        <v>765</v>
      </c>
      <c r="V157" s="194" t="s">
        <v>766</v>
      </c>
      <c r="W157" s="195" t="s">
        <v>551</v>
      </c>
      <c r="X157" s="195" t="s">
        <v>767</v>
      </c>
      <c r="Y157" s="195" t="s">
        <v>561</v>
      </c>
      <c r="Z157" s="195" t="s">
        <v>27</v>
      </c>
      <c r="AA157" s="195" t="s">
        <v>557</v>
      </c>
      <c r="AB157" s="195" t="s">
        <v>11</v>
      </c>
      <c r="AC157" s="195" t="s">
        <v>768</v>
      </c>
    </row>
    <row r="158">
      <c r="A158" s="182">
        <v>395.0</v>
      </c>
      <c r="B158" s="183" t="s">
        <v>27</v>
      </c>
      <c r="C158" s="152" t="str">
        <f>HYPERLINK("https://azurlane.koumakan.jp/L%27Opini%C3%A2tre","L'Opiniâtre")</f>
        <v>L'Opiniâtre</v>
      </c>
      <c r="D158" s="170" t="s">
        <v>28</v>
      </c>
      <c r="E158" s="191">
        <v>1815.0</v>
      </c>
      <c r="F158" s="170">
        <v>104.0</v>
      </c>
      <c r="G158" s="170">
        <v>375.0</v>
      </c>
      <c r="H158" s="170">
        <v>0.0</v>
      </c>
      <c r="I158" s="170">
        <v>208.0</v>
      </c>
      <c r="J158" s="170">
        <v>199.0</v>
      </c>
      <c r="K158" s="170">
        <v>230.0</v>
      </c>
      <c r="L158" s="170" t="s">
        <v>29</v>
      </c>
      <c r="M158" s="170">
        <v>42.0</v>
      </c>
      <c r="N158" s="170">
        <v>218.0</v>
      </c>
      <c r="O158" s="192">
        <v>45.0</v>
      </c>
      <c r="P158" s="170">
        <v>196.0</v>
      </c>
      <c r="Q158" s="170">
        <v>9.0</v>
      </c>
      <c r="R158" s="170">
        <v>0.0</v>
      </c>
      <c r="S158" s="170">
        <v>0.0</v>
      </c>
      <c r="T158" s="186" t="s">
        <v>243</v>
      </c>
      <c r="U158" s="193" t="s">
        <v>769</v>
      </c>
      <c r="V158" s="194" t="s">
        <v>770</v>
      </c>
      <c r="W158" s="195" t="s">
        <v>551</v>
      </c>
      <c r="X158" s="195" t="s">
        <v>754</v>
      </c>
      <c r="Y158" s="195" t="s">
        <v>556</v>
      </c>
      <c r="Z158" s="195" t="s">
        <v>27</v>
      </c>
      <c r="AA158" s="195" t="s">
        <v>557</v>
      </c>
      <c r="AB158" s="195" t="s">
        <v>11</v>
      </c>
      <c r="AC158" s="195" t="s">
        <v>771</v>
      </c>
    </row>
    <row r="159">
      <c r="A159" s="182">
        <v>406.0</v>
      </c>
      <c r="B159" s="196" t="s">
        <v>27</v>
      </c>
      <c r="C159" s="197" t="str">
        <f>HYPERLINK("https://azurlane.koumakan.jp/Aylwin","Aylwin")</f>
        <v>Aylwin</v>
      </c>
      <c r="D159" s="191" t="s">
        <v>36</v>
      </c>
      <c r="E159" s="191">
        <v>1720.0</v>
      </c>
      <c r="F159" s="191">
        <v>82.0</v>
      </c>
      <c r="G159" s="191">
        <v>282.0</v>
      </c>
      <c r="H159" s="191">
        <v>0.0</v>
      </c>
      <c r="I159" s="191">
        <v>186.0</v>
      </c>
      <c r="J159" s="191">
        <v>202.0</v>
      </c>
      <c r="K159" s="191">
        <v>210.0</v>
      </c>
      <c r="L159" s="191" t="s">
        <v>29</v>
      </c>
      <c r="M159" s="191">
        <v>44.0</v>
      </c>
      <c r="N159" s="191">
        <v>194.0</v>
      </c>
      <c r="O159" s="191">
        <v>83.0</v>
      </c>
      <c r="P159" s="191">
        <v>200.0</v>
      </c>
      <c r="Q159" s="191">
        <v>8.0</v>
      </c>
      <c r="R159" s="191">
        <v>0.0</v>
      </c>
      <c r="S159" s="191">
        <v>0.0</v>
      </c>
      <c r="T159" s="160" t="s">
        <v>37</v>
      </c>
      <c r="U159" s="190" t="s">
        <v>602</v>
      </c>
      <c r="V159" s="159" t="s">
        <v>551</v>
      </c>
      <c r="W159" s="159" t="s">
        <v>551</v>
      </c>
      <c r="X159" s="195" t="s">
        <v>555</v>
      </c>
      <c r="Y159" s="195" t="s">
        <v>556</v>
      </c>
      <c r="Z159" s="160" t="s">
        <v>27</v>
      </c>
      <c r="AA159" s="160" t="s">
        <v>557</v>
      </c>
      <c r="AB159" s="160" t="s">
        <v>11</v>
      </c>
      <c r="AC159" s="198" t="s">
        <v>558</v>
      </c>
    </row>
    <row r="160">
      <c r="A160" s="182">
        <v>407.0</v>
      </c>
      <c r="B160" s="196" t="s">
        <v>27</v>
      </c>
      <c r="C160" s="197" t="str">
        <f>HYPERLINK("https://azurlane.koumakan.jp/Bache","Bache")</f>
        <v>Bache</v>
      </c>
      <c r="D160" s="191" t="s">
        <v>36</v>
      </c>
      <c r="E160" s="191">
        <v>2146.0</v>
      </c>
      <c r="F160" s="191">
        <v>77.0</v>
      </c>
      <c r="G160" s="191">
        <v>287.0</v>
      </c>
      <c r="H160" s="191">
        <v>0.0</v>
      </c>
      <c r="I160" s="191">
        <v>198.0</v>
      </c>
      <c r="J160" s="191">
        <v>199.0</v>
      </c>
      <c r="K160" s="191">
        <v>209.0</v>
      </c>
      <c r="L160" s="191" t="s">
        <v>29</v>
      </c>
      <c r="M160" s="191">
        <v>43.0</v>
      </c>
      <c r="N160" s="191">
        <v>210.0</v>
      </c>
      <c r="O160" s="191">
        <v>78.0</v>
      </c>
      <c r="P160" s="191">
        <v>190.0</v>
      </c>
      <c r="Q160" s="191">
        <v>8.0</v>
      </c>
      <c r="R160" s="191">
        <v>0.0</v>
      </c>
      <c r="S160" s="191">
        <v>0.0</v>
      </c>
      <c r="T160" s="160" t="s">
        <v>37</v>
      </c>
      <c r="U160" s="194" t="s">
        <v>772</v>
      </c>
      <c r="V160" s="147" t="s">
        <v>551</v>
      </c>
      <c r="W160" s="160" t="s">
        <v>551</v>
      </c>
      <c r="X160" s="160" t="s">
        <v>573</v>
      </c>
      <c r="Y160" s="160" t="s">
        <v>556</v>
      </c>
      <c r="Z160" s="160" t="s">
        <v>27</v>
      </c>
      <c r="AA160" s="160" t="s">
        <v>557</v>
      </c>
      <c r="AB160" s="160" t="s">
        <v>11</v>
      </c>
      <c r="AC160" s="198" t="s">
        <v>558</v>
      </c>
    </row>
    <row r="161">
      <c r="A161" s="182">
        <v>410.0</v>
      </c>
      <c r="B161" s="183" t="s">
        <v>27</v>
      </c>
      <c r="C161" s="152" t="str">
        <f>HYPERLINK("https://azurlane.koumakan.jp/Stanly","Stanly")</f>
        <v>Stanly</v>
      </c>
      <c r="D161" s="170" t="s">
        <v>36</v>
      </c>
      <c r="E161" s="170">
        <v>2146.0</v>
      </c>
      <c r="F161" s="170">
        <v>87.0</v>
      </c>
      <c r="G161" s="170">
        <v>287.0</v>
      </c>
      <c r="H161" s="170">
        <v>0.0</v>
      </c>
      <c r="I161" s="170">
        <v>176.0</v>
      </c>
      <c r="J161" s="170">
        <v>207.0</v>
      </c>
      <c r="K161" s="170">
        <v>206.0</v>
      </c>
      <c r="L161" s="170" t="s">
        <v>29</v>
      </c>
      <c r="M161" s="170">
        <v>42.0</v>
      </c>
      <c r="N161" s="170">
        <v>222.0</v>
      </c>
      <c r="O161" s="170">
        <v>90.0</v>
      </c>
      <c r="P161" s="170">
        <v>209.0</v>
      </c>
      <c r="Q161" s="170">
        <v>8.0</v>
      </c>
      <c r="R161" s="170">
        <v>0.0</v>
      </c>
      <c r="S161" s="170">
        <v>0.0</v>
      </c>
      <c r="T161" s="147" t="s">
        <v>37</v>
      </c>
      <c r="U161" s="190" t="s">
        <v>590</v>
      </c>
      <c r="V161" s="160" t="s">
        <v>551</v>
      </c>
      <c r="W161" s="160" t="s">
        <v>551</v>
      </c>
      <c r="X161" s="160" t="s">
        <v>573</v>
      </c>
      <c r="Y161" s="160" t="s">
        <v>556</v>
      </c>
      <c r="Z161" s="160" t="s">
        <v>27</v>
      </c>
      <c r="AA161" s="160" t="s">
        <v>557</v>
      </c>
      <c r="AB161" s="160" t="s">
        <v>11</v>
      </c>
      <c r="AC161" s="198" t="s">
        <v>751</v>
      </c>
    </row>
    <row r="162">
      <c r="A162" s="182">
        <v>415.0</v>
      </c>
      <c r="B162" s="183" t="s">
        <v>27</v>
      </c>
      <c r="C162" s="152" t="str">
        <f>HYPERLINK("https://azurlane.koumakan.jp/Carabiniere","Carabiniere")</f>
        <v>Carabiniere</v>
      </c>
      <c r="D162" s="170" t="s">
        <v>28</v>
      </c>
      <c r="E162" s="170">
        <v>1831.0</v>
      </c>
      <c r="F162" s="170">
        <v>128.0</v>
      </c>
      <c r="G162" s="170">
        <v>271.0</v>
      </c>
      <c r="H162" s="170">
        <v>0.0</v>
      </c>
      <c r="I162" s="170">
        <v>164.0</v>
      </c>
      <c r="J162" s="170">
        <v>204.0</v>
      </c>
      <c r="K162" s="170">
        <v>275.0</v>
      </c>
      <c r="L162" s="170" t="s">
        <v>29</v>
      </c>
      <c r="M162" s="170">
        <v>45.0</v>
      </c>
      <c r="N162" s="170">
        <v>212.0</v>
      </c>
      <c r="O162" s="170">
        <v>65.0</v>
      </c>
      <c r="P162" s="170">
        <v>207.0</v>
      </c>
      <c r="Q162" s="170">
        <v>9.0</v>
      </c>
      <c r="R162" s="170">
        <v>0.0</v>
      </c>
      <c r="S162" s="170">
        <v>0.0</v>
      </c>
      <c r="T162" s="170" t="s">
        <v>269</v>
      </c>
      <c r="U162" s="164" t="s">
        <v>773</v>
      </c>
      <c r="V162" s="148" t="s">
        <v>774</v>
      </c>
      <c r="W162" s="159" t="s">
        <v>551</v>
      </c>
      <c r="X162" s="160" t="s">
        <v>775</v>
      </c>
      <c r="Y162" s="160" t="s">
        <v>561</v>
      </c>
      <c r="Z162" s="160" t="s">
        <v>27</v>
      </c>
      <c r="AA162" s="160" t="s">
        <v>557</v>
      </c>
      <c r="AB162" s="160" t="s">
        <v>11</v>
      </c>
      <c r="AC162" s="198" t="s">
        <v>678</v>
      </c>
    </row>
    <row r="163">
      <c r="A163" s="182">
        <v>417.0</v>
      </c>
      <c r="B163" s="196" t="s">
        <v>27</v>
      </c>
      <c r="C163" s="152" t="str">
        <f>HYPERLINK("https://azurlane.koumakan.jp/Smalley","Smalley")</f>
        <v>Smalley</v>
      </c>
      <c r="D163" s="191" t="s">
        <v>36</v>
      </c>
      <c r="E163" s="191">
        <v>2146.0</v>
      </c>
      <c r="F163" s="191">
        <v>88.0</v>
      </c>
      <c r="G163" s="191">
        <v>287.0</v>
      </c>
      <c r="H163" s="191">
        <v>0.0</v>
      </c>
      <c r="I163" s="191">
        <v>193.0</v>
      </c>
      <c r="J163" s="191">
        <v>205.0</v>
      </c>
      <c r="K163" s="191">
        <v>206.0</v>
      </c>
      <c r="L163" s="191" t="s">
        <v>29</v>
      </c>
      <c r="M163" s="191">
        <v>42.0</v>
      </c>
      <c r="N163" s="191">
        <v>222.0</v>
      </c>
      <c r="O163" s="191">
        <v>65.0</v>
      </c>
      <c r="P163" s="191">
        <v>213.0</v>
      </c>
      <c r="Q163" s="191">
        <v>8.0</v>
      </c>
      <c r="R163" s="191">
        <v>0.0</v>
      </c>
      <c r="S163" s="191">
        <v>0.0</v>
      </c>
      <c r="T163" s="170" t="s">
        <v>37</v>
      </c>
      <c r="U163" s="199" t="s">
        <v>613</v>
      </c>
      <c r="V163" s="195" t="s">
        <v>551</v>
      </c>
      <c r="W163" s="195" t="s">
        <v>551</v>
      </c>
      <c r="X163" s="160" t="s">
        <v>573</v>
      </c>
      <c r="Y163" s="160" t="s">
        <v>556</v>
      </c>
      <c r="Z163" s="160" t="s">
        <v>27</v>
      </c>
      <c r="AA163" s="160" t="s">
        <v>557</v>
      </c>
      <c r="AB163" s="160" t="s">
        <v>11</v>
      </c>
      <c r="AC163" s="198" t="s">
        <v>751</v>
      </c>
    </row>
    <row r="164">
      <c r="A164" s="182">
        <v>424.0</v>
      </c>
      <c r="B164" s="196" t="s">
        <v>27</v>
      </c>
      <c r="C164" s="152" t="str">
        <f>HYPERLINK("https://azurlane.koumakan.jp/Kasumi","Kasumi")</f>
        <v>Kasumi</v>
      </c>
      <c r="D164" s="191" t="s">
        <v>28</v>
      </c>
      <c r="E164" s="191">
        <v>2048.0</v>
      </c>
      <c r="F164" s="191">
        <v>66.0</v>
      </c>
      <c r="G164" s="191">
        <v>532.0</v>
      </c>
      <c r="H164" s="191">
        <v>0.0</v>
      </c>
      <c r="I164" s="191">
        <v>160.0</v>
      </c>
      <c r="J164" s="191">
        <v>204.0</v>
      </c>
      <c r="K164" s="191">
        <v>246.0</v>
      </c>
      <c r="L164" s="191" t="s">
        <v>29</v>
      </c>
      <c r="M164" s="191">
        <v>42.0</v>
      </c>
      <c r="N164" s="191">
        <v>206.0</v>
      </c>
      <c r="O164" s="191">
        <v>70.0</v>
      </c>
      <c r="P164" s="191">
        <v>195.0</v>
      </c>
      <c r="Q164" s="191">
        <v>9.0</v>
      </c>
      <c r="R164" s="191">
        <v>0.0</v>
      </c>
      <c r="S164" s="191">
        <v>0.0</v>
      </c>
      <c r="T164" s="170" t="s">
        <v>143</v>
      </c>
      <c r="U164" s="193" t="s">
        <v>776</v>
      </c>
      <c r="V164" s="161" t="s">
        <v>614</v>
      </c>
      <c r="W164" s="195" t="s">
        <v>551</v>
      </c>
      <c r="X164" s="195" t="s">
        <v>737</v>
      </c>
      <c r="Y164" s="195" t="s">
        <v>567</v>
      </c>
      <c r="Z164" s="195" t="s">
        <v>27</v>
      </c>
      <c r="AA164" s="195" t="s">
        <v>557</v>
      </c>
      <c r="AB164" s="195" t="s">
        <v>11</v>
      </c>
      <c r="AC164" s="195" t="s">
        <v>777</v>
      </c>
    </row>
    <row r="165">
      <c r="A165" s="150">
        <v>424.1</v>
      </c>
      <c r="B165" s="200" t="s">
        <v>27</v>
      </c>
      <c r="C165" s="171" t="s">
        <v>282</v>
      </c>
      <c r="D165" s="195" t="s">
        <v>32</v>
      </c>
      <c r="E165" s="175">
        <v>2213.0</v>
      </c>
      <c r="F165" s="175">
        <v>76.0</v>
      </c>
      <c r="G165" s="175">
        <v>592.0</v>
      </c>
      <c r="H165" s="175">
        <v>0.0</v>
      </c>
      <c r="I165" s="175">
        <v>160.0</v>
      </c>
      <c r="J165" s="175">
        <v>219.0</v>
      </c>
      <c r="K165" s="175">
        <v>281.0</v>
      </c>
      <c r="L165" s="175" t="s">
        <v>29</v>
      </c>
      <c r="M165" s="175">
        <v>45.0</v>
      </c>
      <c r="N165" s="175">
        <v>206.0</v>
      </c>
      <c r="O165" s="175">
        <v>70.0</v>
      </c>
      <c r="P165" s="175">
        <v>195.0</v>
      </c>
      <c r="Q165" s="175">
        <v>9.0</v>
      </c>
      <c r="R165" s="175">
        <v>0.0</v>
      </c>
      <c r="S165" s="175">
        <v>0.0</v>
      </c>
      <c r="T165" s="147" t="s">
        <v>143</v>
      </c>
      <c r="U165" s="173" t="s">
        <v>778</v>
      </c>
      <c r="V165" s="161" t="s">
        <v>614</v>
      </c>
      <c r="W165" s="195" t="s">
        <v>551</v>
      </c>
      <c r="X165" s="195" t="s">
        <v>737</v>
      </c>
      <c r="Y165" s="195" t="s">
        <v>567</v>
      </c>
      <c r="Z165" s="195" t="s">
        <v>27</v>
      </c>
      <c r="AA165" s="195" t="s">
        <v>557</v>
      </c>
      <c r="AB165" s="195" t="s">
        <v>11</v>
      </c>
      <c r="AC165" s="195" t="s">
        <v>779</v>
      </c>
    </row>
    <row r="166">
      <c r="A166" s="182">
        <v>427.0</v>
      </c>
      <c r="B166" s="196" t="s">
        <v>27</v>
      </c>
      <c r="C166" s="152" t="str">
        <f>HYPERLINK("https://azurlane.koumakan.jp/Halsey_Powell","Halsey Powell")</f>
        <v>Halsey Powell</v>
      </c>
      <c r="D166" s="191" t="s">
        <v>36</v>
      </c>
      <c r="E166" s="191">
        <v>2146.0</v>
      </c>
      <c r="F166" s="191">
        <v>82.0</v>
      </c>
      <c r="G166" s="191">
        <v>284.0</v>
      </c>
      <c r="H166" s="191">
        <v>0.0</v>
      </c>
      <c r="I166" s="191">
        <v>224.0</v>
      </c>
      <c r="J166" s="191">
        <v>205.0</v>
      </c>
      <c r="K166" s="191">
        <v>206.0</v>
      </c>
      <c r="L166" s="191" t="s">
        <v>29</v>
      </c>
      <c r="M166" s="191">
        <v>42.0</v>
      </c>
      <c r="N166" s="191">
        <v>222.0</v>
      </c>
      <c r="O166" s="191">
        <v>55.0</v>
      </c>
      <c r="P166" s="191">
        <v>217.0</v>
      </c>
      <c r="Q166" s="191">
        <v>9.0</v>
      </c>
      <c r="R166" s="191">
        <v>0.0</v>
      </c>
      <c r="S166" s="191">
        <v>0.0</v>
      </c>
      <c r="T166" s="170" t="s">
        <v>37</v>
      </c>
      <c r="U166" s="194" t="s">
        <v>780</v>
      </c>
      <c r="V166" s="195" t="s">
        <v>551</v>
      </c>
      <c r="W166" s="195" t="s">
        <v>551</v>
      </c>
      <c r="X166" s="195" t="s">
        <v>573</v>
      </c>
      <c r="Y166" s="195" t="s">
        <v>556</v>
      </c>
      <c r="Z166" s="160" t="s">
        <v>27</v>
      </c>
      <c r="AA166" s="160" t="s">
        <v>557</v>
      </c>
      <c r="AB166" s="160" t="s">
        <v>11</v>
      </c>
      <c r="AC166" s="195" t="s">
        <v>751</v>
      </c>
    </row>
    <row r="167">
      <c r="A167" s="182">
        <v>429.0</v>
      </c>
      <c r="B167" s="196" t="s">
        <v>27</v>
      </c>
      <c r="C167" s="152" t="str">
        <f>HYPERLINK("https://azurlane.koumakan.jp/Uranami","Uranami")</f>
        <v>Uranami</v>
      </c>
      <c r="D167" s="191" t="s">
        <v>28</v>
      </c>
      <c r="E167" s="191">
        <v>1842.0</v>
      </c>
      <c r="F167" s="191">
        <v>66.0</v>
      </c>
      <c r="G167" s="191">
        <v>510.0</v>
      </c>
      <c r="H167" s="191">
        <v>0.0</v>
      </c>
      <c r="I167" s="191">
        <v>149.0</v>
      </c>
      <c r="J167" s="191">
        <v>210.0</v>
      </c>
      <c r="K167" s="191">
        <v>251.0</v>
      </c>
      <c r="L167" s="191" t="s">
        <v>29</v>
      </c>
      <c r="M167" s="191">
        <v>45.0</v>
      </c>
      <c r="N167" s="191">
        <v>212.0</v>
      </c>
      <c r="O167" s="191">
        <v>75.0</v>
      </c>
      <c r="P167" s="191">
        <v>198.0</v>
      </c>
      <c r="Q167" s="191">
        <v>9.0</v>
      </c>
      <c r="R167" s="191">
        <v>0.0</v>
      </c>
      <c r="S167" s="191">
        <v>0.0</v>
      </c>
      <c r="T167" s="170" t="s">
        <v>143</v>
      </c>
      <c r="U167" s="161" t="s">
        <v>736</v>
      </c>
      <c r="V167" s="190" t="s">
        <v>726</v>
      </c>
      <c r="W167" s="195" t="s">
        <v>551</v>
      </c>
      <c r="X167" s="195" t="s">
        <v>634</v>
      </c>
      <c r="Y167" s="195" t="s">
        <v>567</v>
      </c>
      <c r="Z167" s="160" t="s">
        <v>27</v>
      </c>
      <c r="AA167" s="160" t="s">
        <v>557</v>
      </c>
      <c r="AB167" s="160" t="s">
        <v>11</v>
      </c>
      <c r="AC167" s="195" t="s">
        <v>635</v>
      </c>
    </row>
    <row r="168">
      <c r="A168" s="150">
        <v>431.0</v>
      </c>
      <c r="B168" s="200" t="s">
        <v>27</v>
      </c>
      <c r="C168" s="152" t="str">
        <f>HYPERLINK("https://azurlane.koumakan.jp/Minsk","Grozny")</f>
        <v>Grozny</v>
      </c>
      <c r="D168" s="195" t="s">
        <v>28</v>
      </c>
      <c r="E168" s="175">
        <v>2556.0</v>
      </c>
      <c r="F168" s="175">
        <v>126.0</v>
      </c>
      <c r="G168" s="175">
        <v>181.0</v>
      </c>
      <c r="H168" s="175">
        <v>0.0</v>
      </c>
      <c r="I168" s="175">
        <v>208.0</v>
      </c>
      <c r="J168" s="175">
        <v>202.0</v>
      </c>
      <c r="K168" s="175">
        <v>213.0</v>
      </c>
      <c r="L168" s="175" t="s">
        <v>29</v>
      </c>
      <c r="M168" s="175">
        <v>45.0</v>
      </c>
      <c r="N168" s="175">
        <v>206.0</v>
      </c>
      <c r="O168" s="175">
        <v>60.0</v>
      </c>
      <c r="P168" s="175">
        <v>202.0</v>
      </c>
      <c r="Q168" s="195">
        <v>9.0</v>
      </c>
      <c r="R168" s="175">
        <v>0.0</v>
      </c>
      <c r="S168" s="175">
        <v>0.0</v>
      </c>
      <c r="T168" s="147" t="s">
        <v>212</v>
      </c>
      <c r="U168" s="188" t="s">
        <v>575</v>
      </c>
      <c r="V168" s="190" t="s">
        <v>758</v>
      </c>
      <c r="W168" s="195" t="s">
        <v>551</v>
      </c>
      <c r="X168" s="195" t="s">
        <v>781</v>
      </c>
      <c r="Y168" s="195" t="s">
        <v>561</v>
      </c>
      <c r="Z168" s="195" t="s">
        <v>27</v>
      </c>
      <c r="AA168" s="195" t="s">
        <v>557</v>
      </c>
      <c r="AB168" s="195" t="s">
        <v>11</v>
      </c>
      <c r="AC168" s="195" t="s">
        <v>782</v>
      </c>
    </row>
    <row r="169">
      <c r="A169" s="150">
        <v>432.0</v>
      </c>
      <c r="B169" s="200" t="s">
        <v>27</v>
      </c>
      <c r="C169" s="152" t="str">
        <f>HYPERLINK("https://azurlane.koumakan.jp/Grozny","Minsk")</f>
        <v>Minsk</v>
      </c>
      <c r="D169" s="195" t="s">
        <v>28</v>
      </c>
      <c r="E169" s="175">
        <v>2675.0</v>
      </c>
      <c r="F169" s="175">
        <v>147.0</v>
      </c>
      <c r="G169" s="175">
        <v>231.0</v>
      </c>
      <c r="H169" s="175">
        <v>0.0</v>
      </c>
      <c r="I169" s="175">
        <v>175.0</v>
      </c>
      <c r="J169" s="175">
        <v>204.0</v>
      </c>
      <c r="K169" s="175">
        <v>227.0</v>
      </c>
      <c r="L169" s="175" t="s">
        <v>29</v>
      </c>
      <c r="M169" s="175">
        <v>48.0</v>
      </c>
      <c r="N169" s="175">
        <v>206.0</v>
      </c>
      <c r="O169" s="175">
        <v>58.0</v>
      </c>
      <c r="P169" s="175">
        <v>206.0</v>
      </c>
      <c r="Q169" s="195">
        <v>9.0</v>
      </c>
      <c r="R169" s="175">
        <v>0.0</v>
      </c>
      <c r="S169" s="175">
        <v>0.0</v>
      </c>
      <c r="T169" s="147" t="s">
        <v>212</v>
      </c>
      <c r="U169" s="194" t="s">
        <v>783</v>
      </c>
      <c r="V169" s="190" t="s">
        <v>587</v>
      </c>
      <c r="W169" s="195" t="s">
        <v>551</v>
      </c>
      <c r="X169" s="195" t="s">
        <v>784</v>
      </c>
      <c r="Y169" s="195" t="s">
        <v>561</v>
      </c>
      <c r="Z169" s="195" t="s">
        <v>27</v>
      </c>
      <c r="AA169" s="195" t="s">
        <v>557</v>
      </c>
      <c r="AB169" s="195" t="s">
        <v>11</v>
      </c>
      <c r="AC169" s="195" t="s">
        <v>785</v>
      </c>
    </row>
    <row r="170">
      <c r="A170" s="150">
        <v>433.0</v>
      </c>
      <c r="B170" s="200" t="s">
        <v>27</v>
      </c>
      <c r="C170" s="152" t="str">
        <f>HYPERLINK("https://azurlane.koumakan.jp/Tashkent","Tashkent")</f>
        <v>Tashkent</v>
      </c>
      <c r="D170" s="195" t="s">
        <v>32</v>
      </c>
      <c r="E170" s="201">
        <v>2713.0</v>
      </c>
      <c r="F170" s="201">
        <v>182.0</v>
      </c>
      <c r="G170" s="175">
        <v>283.0</v>
      </c>
      <c r="H170" s="175">
        <v>0.0</v>
      </c>
      <c r="I170" s="175">
        <v>180.0</v>
      </c>
      <c r="J170" s="175">
        <v>207.0</v>
      </c>
      <c r="K170" s="175">
        <v>231.0</v>
      </c>
      <c r="L170" s="175" t="s">
        <v>29</v>
      </c>
      <c r="M170" s="175">
        <v>51.0</v>
      </c>
      <c r="N170" s="175">
        <v>210.0</v>
      </c>
      <c r="O170" s="175">
        <v>86.0</v>
      </c>
      <c r="P170" s="175">
        <v>211.0</v>
      </c>
      <c r="Q170" s="195">
        <v>10.0</v>
      </c>
      <c r="R170" s="175">
        <v>0.0</v>
      </c>
      <c r="S170" s="175">
        <v>0.0</v>
      </c>
      <c r="T170" s="147" t="s">
        <v>212</v>
      </c>
      <c r="U170" s="193" t="s">
        <v>786</v>
      </c>
      <c r="V170" s="202" t="s">
        <v>787</v>
      </c>
      <c r="W170" s="195" t="s">
        <v>551</v>
      </c>
      <c r="X170" s="195" t="s">
        <v>788</v>
      </c>
      <c r="Y170" s="195" t="s">
        <v>561</v>
      </c>
      <c r="Z170" s="195" t="s">
        <v>27</v>
      </c>
      <c r="AA170" s="195" t="s">
        <v>557</v>
      </c>
      <c r="AB170" s="195" t="s">
        <v>11</v>
      </c>
      <c r="AC170" s="195" t="s">
        <v>789</v>
      </c>
    </row>
    <row r="171">
      <c r="A171" s="150">
        <v>444.0</v>
      </c>
      <c r="B171" s="200" t="s">
        <v>27</v>
      </c>
      <c r="C171" s="152" t="str">
        <f>HYPERLINK("https://azurlane.koumakan.jp/Cooper","Cooper")</f>
        <v>Cooper</v>
      </c>
      <c r="D171" s="195" t="s">
        <v>28</v>
      </c>
      <c r="E171" s="175">
        <v>2244.0</v>
      </c>
      <c r="F171" s="175">
        <v>128.0</v>
      </c>
      <c r="G171" s="175">
        <v>365.0</v>
      </c>
      <c r="H171" s="175">
        <v>0.0</v>
      </c>
      <c r="I171" s="175">
        <v>204.0</v>
      </c>
      <c r="J171" s="175">
        <v>223.0</v>
      </c>
      <c r="K171" s="175">
        <v>230.0</v>
      </c>
      <c r="L171" s="175" t="s">
        <v>29</v>
      </c>
      <c r="M171" s="175">
        <v>40.0</v>
      </c>
      <c r="N171" s="175">
        <v>228.0</v>
      </c>
      <c r="O171" s="175">
        <v>22.0</v>
      </c>
      <c r="P171" s="175">
        <v>218.0</v>
      </c>
      <c r="Q171" s="195">
        <v>9.0</v>
      </c>
      <c r="R171" s="175">
        <v>0.0</v>
      </c>
      <c r="S171" s="175">
        <v>0.0</v>
      </c>
      <c r="T171" s="147" t="s">
        <v>37</v>
      </c>
      <c r="U171" s="193" t="s">
        <v>790</v>
      </c>
      <c r="V171" s="195" t="s">
        <v>551</v>
      </c>
      <c r="W171" s="195" t="s">
        <v>551</v>
      </c>
      <c r="X171" s="195" t="s">
        <v>791</v>
      </c>
      <c r="Y171" s="195" t="s">
        <v>556</v>
      </c>
      <c r="Z171" s="195" t="s">
        <v>27</v>
      </c>
      <c r="AA171" s="195" t="s">
        <v>557</v>
      </c>
      <c r="AB171" s="195" t="s">
        <v>11</v>
      </c>
      <c r="AC171" s="195" t="s">
        <v>563</v>
      </c>
    </row>
    <row r="172">
      <c r="A172" s="150">
        <v>449.0</v>
      </c>
      <c r="B172" s="200" t="s">
        <v>27</v>
      </c>
      <c r="C172" s="152" t="str">
        <f>HYPERLINK("https://azurlane.koumakan.jp/Hanazuki","Hanazuki")</f>
        <v>Hanazuki</v>
      </c>
      <c r="D172" s="195" t="s">
        <v>28</v>
      </c>
      <c r="E172" s="175">
        <v>2504.0</v>
      </c>
      <c r="F172" s="175">
        <v>77.0</v>
      </c>
      <c r="G172" s="175">
        <v>375.0</v>
      </c>
      <c r="H172" s="175">
        <v>0.0</v>
      </c>
      <c r="I172" s="175">
        <v>204.0</v>
      </c>
      <c r="J172" s="175">
        <v>213.0</v>
      </c>
      <c r="K172" s="175">
        <v>232.0</v>
      </c>
      <c r="L172" s="175" t="s">
        <v>29</v>
      </c>
      <c r="M172" s="175">
        <v>39.0</v>
      </c>
      <c r="N172" s="175">
        <v>203.0</v>
      </c>
      <c r="O172" s="175">
        <v>65.0</v>
      </c>
      <c r="P172" s="175">
        <v>203.0</v>
      </c>
      <c r="Q172" s="175">
        <v>9.0</v>
      </c>
      <c r="R172" s="175">
        <v>0.0</v>
      </c>
      <c r="S172" s="175">
        <v>0.0</v>
      </c>
      <c r="T172" s="147" t="s">
        <v>143</v>
      </c>
      <c r="U172" s="188" t="s">
        <v>720</v>
      </c>
      <c r="V172" s="195" t="s">
        <v>551</v>
      </c>
      <c r="W172" s="195" t="s">
        <v>551</v>
      </c>
      <c r="X172" s="195" t="s">
        <v>718</v>
      </c>
      <c r="Y172" s="195" t="s">
        <v>561</v>
      </c>
      <c r="Z172" s="195" t="s">
        <v>27</v>
      </c>
      <c r="AA172" s="195" t="s">
        <v>557</v>
      </c>
      <c r="AB172" s="195" t="s">
        <v>11</v>
      </c>
      <c r="AC172" s="195" t="s">
        <v>792</v>
      </c>
    </row>
    <row r="173" ht="15.75" customHeight="1">
      <c r="A173" s="150">
        <v>450.0</v>
      </c>
      <c r="B173" s="151" t="s">
        <v>27</v>
      </c>
      <c r="C173" s="152" t="str">
        <f>HYPERLINK("https://azurlane.koumakan.jp/Naganami","Naganami")</f>
        <v>Naganami</v>
      </c>
      <c r="D173" s="153" t="s">
        <v>28</v>
      </c>
      <c r="E173" s="154">
        <v>2210.0</v>
      </c>
      <c r="F173" s="154">
        <v>66.0</v>
      </c>
      <c r="G173" s="154">
        <v>536.0</v>
      </c>
      <c r="H173" s="154">
        <v>0.0</v>
      </c>
      <c r="I173" s="154">
        <v>159.0</v>
      </c>
      <c r="J173" s="154">
        <v>218.0</v>
      </c>
      <c r="K173" s="154">
        <v>246.0</v>
      </c>
      <c r="L173" s="154" t="s">
        <v>29</v>
      </c>
      <c r="M173" s="154">
        <v>42.0</v>
      </c>
      <c r="N173" s="154">
        <v>212.0</v>
      </c>
      <c r="O173" s="154">
        <v>55.0</v>
      </c>
      <c r="P173" s="154">
        <v>195.0</v>
      </c>
      <c r="Q173" s="153">
        <v>9.0</v>
      </c>
      <c r="R173" s="154">
        <v>0.0</v>
      </c>
      <c r="S173" s="154">
        <v>0.0</v>
      </c>
      <c r="T173" s="147" t="s">
        <v>143</v>
      </c>
      <c r="U173" s="173" t="s">
        <v>715</v>
      </c>
      <c r="V173" s="172" t="s">
        <v>793</v>
      </c>
      <c r="W173" s="153" t="s">
        <v>551</v>
      </c>
      <c r="X173" s="153" t="s">
        <v>716</v>
      </c>
      <c r="Y173" s="153" t="s">
        <v>567</v>
      </c>
      <c r="Z173" s="153" t="s">
        <v>27</v>
      </c>
      <c r="AA173" s="153" t="s">
        <v>557</v>
      </c>
      <c r="AB173" s="153" t="s">
        <v>11</v>
      </c>
      <c r="AC173" s="153" t="s">
        <v>665</v>
      </c>
    </row>
    <row r="174">
      <c r="A174" s="150">
        <v>452.0</v>
      </c>
      <c r="B174" s="200" t="s">
        <v>27</v>
      </c>
      <c r="C174" s="152" t="str">
        <f>HYPERLINK("https://azurlane.koumakan.jp/Tartu","Tartu")</f>
        <v>Tartu</v>
      </c>
      <c r="D174" s="195" t="s">
        <v>28</v>
      </c>
      <c r="E174" s="175">
        <v>1914.0</v>
      </c>
      <c r="F174" s="175">
        <v>121.0</v>
      </c>
      <c r="G174" s="175">
        <v>277.0</v>
      </c>
      <c r="H174" s="175">
        <v>0.0</v>
      </c>
      <c r="I174" s="175">
        <v>144.0</v>
      </c>
      <c r="J174" s="175">
        <v>207.0</v>
      </c>
      <c r="K174" s="175">
        <v>272.0</v>
      </c>
      <c r="L174" s="175" t="s">
        <v>29</v>
      </c>
      <c r="M174" s="175">
        <v>43.0</v>
      </c>
      <c r="N174" s="175">
        <v>206.0</v>
      </c>
      <c r="O174" s="175">
        <v>45.0</v>
      </c>
      <c r="P174" s="175">
        <v>211.0</v>
      </c>
      <c r="Q174" s="195">
        <v>9.0</v>
      </c>
      <c r="R174" s="175">
        <v>0.0</v>
      </c>
      <c r="S174" s="175">
        <v>0.0</v>
      </c>
      <c r="T174" s="147" t="s">
        <v>247</v>
      </c>
      <c r="U174" s="202" t="s">
        <v>794</v>
      </c>
      <c r="V174" s="203" t="s">
        <v>551</v>
      </c>
      <c r="W174" s="195" t="s">
        <v>551</v>
      </c>
      <c r="X174" s="195" t="s">
        <v>795</v>
      </c>
      <c r="Y174" s="195" t="s">
        <v>561</v>
      </c>
      <c r="Z174" s="195" t="s">
        <v>27</v>
      </c>
      <c r="AA174" s="195" t="s">
        <v>557</v>
      </c>
      <c r="AB174" s="195" t="s">
        <v>11</v>
      </c>
      <c r="AC174" s="195" t="s">
        <v>796</v>
      </c>
    </row>
    <row r="175">
      <c r="A175" s="156">
        <v>457.0</v>
      </c>
      <c r="B175" s="159" t="s">
        <v>27</v>
      </c>
      <c r="C175" s="152" t="s">
        <v>307</v>
      </c>
      <c r="D175" s="185" t="s">
        <v>28</v>
      </c>
      <c r="E175" s="144">
        <v>1914.0</v>
      </c>
      <c r="F175" s="144">
        <v>115.0</v>
      </c>
      <c r="G175" s="144">
        <v>283.0</v>
      </c>
      <c r="H175" s="144">
        <v>0.0</v>
      </c>
      <c r="I175" s="144">
        <v>146.0</v>
      </c>
      <c r="J175" s="144">
        <v>209.0</v>
      </c>
      <c r="K175" s="144">
        <v>272.0</v>
      </c>
      <c r="L175" s="144" t="s">
        <v>29</v>
      </c>
      <c r="M175" s="144">
        <v>43.0</v>
      </c>
      <c r="N175" s="144">
        <v>215.0</v>
      </c>
      <c r="O175" s="165">
        <v>48.0</v>
      </c>
      <c r="P175" s="144">
        <v>210.0</v>
      </c>
      <c r="Q175" s="144">
        <v>9.0</v>
      </c>
      <c r="R175" s="144">
        <v>0.0</v>
      </c>
      <c r="S175" s="144">
        <v>0.0</v>
      </c>
      <c r="T175" s="147" t="s">
        <v>247</v>
      </c>
      <c r="U175" s="148" t="s">
        <v>797</v>
      </c>
      <c r="V175" s="204" t="s">
        <v>551</v>
      </c>
      <c r="W175" s="205" t="s">
        <v>551</v>
      </c>
      <c r="X175" s="160" t="s">
        <v>795</v>
      </c>
      <c r="Y175" s="160" t="s">
        <v>561</v>
      </c>
      <c r="Z175" s="160" t="s">
        <v>27</v>
      </c>
      <c r="AA175" s="160" t="s">
        <v>557</v>
      </c>
      <c r="AB175" s="160" t="s">
        <v>11</v>
      </c>
      <c r="AC175" s="160" t="s">
        <v>796</v>
      </c>
    </row>
    <row r="176">
      <c r="A176" s="156">
        <v>460.0</v>
      </c>
      <c r="B176" s="159" t="s">
        <v>27</v>
      </c>
      <c r="C176" s="143" t="s">
        <v>311</v>
      </c>
      <c r="D176" s="185" t="s">
        <v>28</v>
      </c>
      <c r="E176" s="144">
        <v>1698.0</v>
      </c>
      <c r="F176" s="144">
        <v>89.0</v>
      </c>
      <c r="G176" s="144">
        <v>355.0</v>
      </c>
      <c r="H176" s="144">
        <v>0.0</v>
      </c>
      <c r="I176" s="144">
        <v>160.0</v>
      </c>
      <c r="J176" s="144">
        <v>214.0</v>
      </c>
      <c r="K176" s="144">
        <v>271.0</v>
      </c>
      <c r="L176" s="144" t="s">
        <v>29</v>
      </c>
      <c r="M176" s="144">
        <v>43.0</v>
      </c>
      <c r="N176" s="144">
        <v>212.0</v>
      </c>
      <c r="O176" s="165">
        <v>72.0</v>
      </c>
      <c r="P176" s="144">
        <v>196.0</v>
      </c>
      <c r="Q176" s="144">
        <v>9.0</v>
      </c>
      <c r="R176" s="144">
        <v>0.0</v>
      </c>
      <c r="S176" s="144">
        <v>0.0</v>
      </c>
      <c r="T176" s="147" t="s">
        <v>104</v>
      </c>
      <c r="U176" s="188" t="s">
        <v>798</v>
      </c>
      <c r="V176" s="204" t="s">
        <v>551</v>
      </c>
      <c r="W176" s="205" t="s">
        <v>551</v>
      </c>
      <c r="X176" s="160" t="s">
        <v>799</v>
      </c>
      <c r="Y176" s="160" t="s">
        <v>556</v>
      </c>
      <c r="Z176" s="160" t="s">
        <v>27</v>
      </c>
      <c r="AA176" s="160" t="s">
        <v>557</v>
      </c>
      <c r="AB176" s="160" t="s">
        <v>11</v>
      </c>
      <c r="AC176" s="160" t="s">
        <v>800</v>
      </c>
    </row>
    <row r="177">
      <c r="A177" s="156">
        <v>465.0</v>
      </c>
      <c r="B177" s="159" t="s">
        <v>27</v>
      </c>
      <c r="C177" s="197" t="s">
        <v>319</v>
      </c>
      <c r="D177" s="185" t="s">
        <v>28</v>
      </c>
      <c r="E177" s="144">
        <v>1710.0</v>
      </c>
      <c r="F177" s="144">
        <v>80.0</v>
      </c>
      <c r="G177" s="144">
        <v>381.0</v>
      </c>
      <c r="H177" s="144">
        <v>0.0</v>
      </c>
      <c r="I177" s="144">
        <v>160.0</v>
      </c>
      <c r="J177" s="144">
        <v>210.0</v>
      </c>
      <c r="K177" s="144">
        <v>270.0</v>
      </c>
      <c r="L177" s="144" t="s">
        <v>29</v>
      </c>
      <c r="M177" s="144">
        <v>42.0</v>
      </c>
      <c r="N177" s="144">
        <v>218.0</v>
      </c>
      <c r="O177" s="165">
        <v>70.0</v>
      </c>
      <c r="P177" s="144">
        <v>217.0</v>
      </c>
      <c r="Q177" s="144">
        <v>9.0</v>
      </c>
      <c r="R177" s="144">
        <v>0.0</v>
      </c>
      <c r="S177" s="144">
        <v>0.0</v>
      </c>
      <c r="T177" s="147" t="s">
        <v>104</v>
      </c>
      <c r="U177" s="188" t="s">
        <v>801</v>
      </c>
      <c r="V177" s="161" t="s">
        <v>802</v>
      </c>
      <c r="W177" s="205" t="s">
        <v>551</v>
      </c>
      <c r="X177" s="160" t="s">
        <v>803</v>
      </c>
      <c r="Y177" s="160" t="s">
        <v>556</v>
      </c>
      <c r="Z177" s="160" t="s">
        <v>27</v>
      </c>
      <c r="AA177" s="160" t="s">
        <v>557</v>
      </c>
      <c r="AB177" s="160" t="s">
        <v>11</v>
      </c>
      <c r="AC177" s="160" t="s">
        <v>733</v>
      </c>
    </row>
    <row r="178">
      <c r="A178" s="150">
        <v>466.0</v>
      </c>
      <c r="B178" s="200" t="s">
        <v>27</v>
      </c>
      <c r="C178" s="152" t="s">
        <v>321</v>
      </c>
      <c r="D178" s="195" t="s">
        <v>28</v>
      </c>
      <c r="E178" s="175">
        <v>2167.0</v>
      </c>
      <c r="F178" s="175">
        <v>122.0</v>
      </c>
      <c r="G178" s="175">
        <v>331.0</v>
      </c>
      <c r="H178" s="175">
        <v>0.0</v>
      </c>
      <c r="I178" s="175">
        <v>157.0</v>
      </c>
      <c r="J178" s="175">
        <v>193.0</v>
      </c>
      <c r="K178" s="175">
        <v>201.0</v>
      </c>
      <c r="L178" s="175" t="s">
        <v>29</v>
      </c>
      <c r="M178" s="175">
        <v>43.0</v>
      </c>
      <c r="N178" s="175">
        <v>190.0</v>
      </c>
      <c r="O178" s="175">
        <v>43.0</v>
      </c>
      <c r="P178" s="175">
        <v>204.0</v>
      </c>
      <c r="Q178" s="175">
        <v>9.0</v>
      </c>
      <c r="R178" s="175">
        <v>0.0</v>
      </c>
      <c r="S178" s="175">
        <v>0.0</v>
      </c>
      <c r="T178" s="147" t="s">
        <v>193</v>
      </c>
      <c r="U178" s="194" t="s">
        <v>804</v>
      </c>
      <c r="V178" s="188" t="s">
        <v>575</v>
      </c>
      <c r="W178" s="195" t="s">
        <v>551</v>
      </c>
      <c r="X178" s="195" t="s">
        <v>681</v>
      </c>
      <c r="Y178" s="195" t="s">
        <v>561</v>
      </c>
      <c r="Z178" s="195" t="s">
        <v>677</v>
      </c>
      <c r="AA178" s="195" t="s">
        <v>557</v>
      </c>
      <c r="AB178" s="195" t="s">
        <v>11</v>
      </c>
      <c r="AC178" s="195" t="s">
        <v>678</v>
      </c>
    </row>
    <row r="179">
      <c r="A179" s="150">
        <v>468.0</v>
      </c>
      <c r="B179" s="200" t="s">
        <v>27</v>
      </c>
      <c r="C179" s="197" t="s">
        <v>323</v>
      </c>
      <c r="D179" s="195" t="s">
        <v>32</v>
      </c>
      <c r="E179" s="195">
        <v>2600.0</v>
      </c>
      <c r="F179" s="195">
        <v>82.0</v>
      </c>
      <c r="G179" s="175">
        <v>389.0</v>
      </c>
      <c r="H179" s="175">
        <v>0.0</v>
      </c>
      <c r="I179" s="175">
        <v>209.0</v>
      </c>
      <c r="J179" s="175">
        <v>221.0</v>
      </c>
      <c r="K179" s="175">
        <v>232.0</v>
      </c>
      <c r="L179" s="175" t="s">
        <v>29</v>
      </c>
      <c r="M179" s="175">
        <v>39.0</v>
      </c>
      <c r="N179" s="175">
        <v>203.0</v>
      </c>
      <c r="O179" s="175">
        <v>72.0</v>
      </c>
      <c r="P179" s="175">
        <v>210.0</v>
      </c>
      <c r="Q179" s="175">
        <v>10.0</v>
      </c>
      <c r="R179" s="175">
        <v>0.0</v>
      </c>
      <c r="S179" s="175">
        <v>0.0</v>
      </c>
      <c r="T179" s="147" t="s">
        <v>143</v>
      </c>
      <c r="U179" s="193" t="s">
        <v>805</v>
      </c>
      <c r="V179" s="194" t="s">
        <v>806</v>
      </c>
      <c r="W179" s="195" t="s">
        <v>551</v>
      </c>
      <c r="X179" s="195" t="s">
        <v>807</v>
      </c>
      <c r="Y179" s="195" t="s">
        <v>561</v>
      </c>
      <c r="Z179" s="195" t="s">
        <v>27</v>
      </c>
      <c r="AA179" s="195" t="s">
        <v>557</v>
      </c>
      <c r="AB179" s="195" t="s">
        <v>11</v>
      </c>
      <c r="AC179" s="195" t="s">
        <v>808</v>
      </c>
    </row>
    <row r="180">
      <c r="A180" s="150">
        <v>475.0</v>
      </c>
      <c r="B180" s="200" t="s">
        <v>27</v>
      </c>
      <c r="C180" s="152" t="s">
        <v>333</v>
      </c>
      <c r="D180" s="195" t="s">
        <v>32</v>
      </c>
      <c r="E180" s="201">
        <v>2713.0</v>
      </c>
      <c r="F180" s="175">
        <v>150.0</v>
      </c>
      <c r="G180" s="175">
        <v>314.0</v>
      </c>
      <c r="H180" s="175">
        <v>0.0</v>
      </c>
      <c r="I180" s="175">
        <v>157.0</v>
      </c>
      <c r="J180" s="175">
        <v>215.0</v>
      </c>
      <c r="K180" s="175">
        <v>231.0</v>
      </c>
      <c r="L180" s="175" t="s">
        <v>29</v>
      </c>
      <c r="M180" s="175">
        <v>51.0</v>
      </c>
      <c r="N180" s="175">
        <v>210.0</v>
      </c>
      <c r="O180" s="175">
        <v>86.0</v>
      </c>
      <c r="P180" s="175">
        <v>211.0</v>
      </c>
      <c r="Q180" s="175">
        <v>10.0</v>
      </c>
      <c r="R180" s="175">
        <v>0.0</v>
      </c>
      <c r="S180" s="175">
        <v>0.0</v>
      </c>
      <c r="T180" s="147" t="s">
        <v>212</v>
      </c>
      <c r="U180" s="193" t="s">
        <v>809</v>
      </c>
      <c r="V180" s="202" t="s">
        <v>810</v>
      </c>
      <c r="W180" s="195" t="s">
        <v>551</v>
      </c>
      <c r="X180" s="195" t="s">
        <v>811</v>
      </c>
      <c r="Y180" s="195" t="s">
        <v>561</v>
      </c>
      <c r="Z180" s="195" t="s">
        <v>27</v>
      </c>
      <c r="AA180" s="195" t="s">
        <v>557</v>
      </c>
      <c r="AB180" s="195" t="s">
        <v>11</v>
      </c>
      <c r="AC180" s="195" t="s">
        <v>789</v>
      </c>
    </row>
    <row r="181">
      <c r="A181" s="150">
        <v>481.0</v>
      </c>
      <c r="B181" s="200" t="s">
        <v>27</v>
      </c>
      <c r="C181" s="152" t="s">
        <v>340</v>
      </c>
      <c r="D181" s="195" t="s">
        <v>32</v>
      </c>
      <c r="E181" s="175">
        <v>2071.0</v>
      </c>
      <c r="F181" s="175">
        <v>141.0</v>
      </c>
      <c r="G181" s="175">
        <v>278.0</v>
      </c>
      <c r="H181" s="175">
        <v>0.0</v>
      </c>
      <c r="I181" s="175">
        <v>138.0</v>
      </c>
      <c r="J181" s="175">
        <v>209.0</v>
      </c>
      <c r="K181" s="175">
        <v>274.0</v>
      </c>
      <c r="L181" s="175" t="s">
        <v>29</v>
      </c>
      <c r="M181" s="175">
        <v>54.0</v>
      </c>
      <c r="N181" s="175">
        <v>206.0</v>
      </c>
      <c r="O181" s="175">
        <v>51.0</v>
      </c>
      <c r="P181" s="175">
        <v>195.0</v>
      </c>
      <c r="Q181" s="175">
        <v>10.0</v>
      </c>
      <c r="R181" s="175">
        <v>0.0</v>
      </c>
      <c r="S181" s="175">
        <v>0.0</v>
      </c>
      <c r="T181" s="147" t="s">
        <v>247</v>
      </c>
      <c r="U181" s="193" t="s">
        <v>812</v>
      </c>
      <c r="V181" s="194" t="s">
        <v>813</v>
      </c>
      <c r="W181" s="195" t="s">
        <v>551</v>
      </c>
      <c r="X181" s="195" t="s">
        <v>814</v>
      </c>
      <c r="Y181" s="195" t="s">
        <v>561</v>
      </c>
      <c r="Z181" s="195" t="s">
        <v>27</v>
      </c>
      <c r="AA181" s="195" t="s">
        <v>557</v>
      </c>
      <c r="AB181" s="195" t="s">
        <v>11</v>
      </c>
      <c r="AC181" s="195" t="s">
        <v>768</v>
      </c>
    </row>
    <row r="182">
      <c r="A182" s="150">
        <v>487.0</v>
      </c>
      <c r="B182" s="200" t="s">
        <v>27</v>
      </c>
      <c r="C182" s="152" t="s">
        <v>349</v>
      </c>
      <c r="D182" s="195" t="s">
        <v>28</v>
      </c>
      <c r="E182" s="175">
        <v>2177.0</v>
      </c>
      <c r="F182" s="175">
        <v>122.0</v>
      </c>
      <c r="G182" s="175">
        <v>331.0</v>
      </c>
      <c r="H182" s="175">
        <v>0.0</v>
      </c>
      <c r="I182" s="175">
        <v>153.0</v>
      </c>
      <c r="J182" s="175">
        <v>202.0</v>
      </c>
      <c r="K182" s="175">
        <v>203.0</v>
      </c>
      <c r="L182" s="175" t="s">
        <v>29</v>
      </c>
      <c r="M182" s="175">
        <v>43.0</v>
      </c>
      <c r="N182" s="175">
        <v>197.0</v>
      </c>
      <c r="O182" s="175">
        <v>56.0</v>
      </c>
      <c r="P182" s="175">
        <v>204.0</v>
      </c>
      <c r="Q182" s="175">
        <v>9.0</v>
      </c>
      <c r="R182" s="175">
        <v>0.0</v>
      </c>
      <c r="S182" s="175">
        <v>0.0</v>
      </c>
      <c r="T182" s="147" t="s">
        <v>193</v>
      </c>
      <c r="U182" s="194" t="s">
        <v>815</v>
      </c>
      <c r="V182" s="193" t="s">
        <v>816</v>
      </c>
      <c r="W182" s="195" t="s">
        <v>551</v>
      </c>
      <c r="X182" s="195" t="s">
        <v>681</v>
      </c>
      <c r="Y182" s="195" t="s">
        <v>561</v>
      </c>
      <c r="Z182" s="195" t="s">
        <v>677</v>
      </c>
      <c r="AA182" s="195" t="s">
        <v>557</v>
      </c>
      <c r="AB182" s="195" t="s">
        <v>11</v>
      </c>
      <c r="AC182" s="195" t="s">
        <v>678</v>
      </c>
    </row>
    <row r="183">
      <c r="A183" s="150">
        <v>488.0</v>
      </c>
      <c r="B183" s="200" t="s">
        <v>27</v>
      </c>
      <c r="C183" s="152" t="s">
        <v>351</v>
      </c>
      <c r="D183" s="195" t="s">
        <v>28</v>
      </c>
      <c r="E183" s="175">
        <v>2175.0</v>
      </c>
      <c r="F183" s="175">
        <v>77.0</v>
      </c>
      <c r="G183" s="175">
        <v>429.0</v>
      </c>
      <c r="H183" s="175">
        <v>0.0</v>
      </c>
      <c r="I183" s="175">
        <v>146.0</v>
      </c>
      <c r="J183" s="175">
        <v>210.0</v>
      </c>
      <c r="K183" s="175">
        <v>201.0</v>
      </c>
      <c r="L183" s="175" t="s">
        <v>29</v>
      </c>
      <c r="M183" s="175">
        <v>43.0</v>
      </c>
      <c r="N183" s="175">
        <v>187.0</v>
      </c>
      <c r="O183" s="175">
        <v>45.0</v>
      </c>
      <c r="P183" s="175">
        <v>200.0</v>
      </c>
      <c r="Q183" s="175">
        <v>9.0</v>
      </c>
      <c r="R183" s="175">
        <v>0.0</v>
      </c>
      <c r="S183" s="175">
        <v>0.0</v>
      </c>
      <c r="T183" s="147" t="s">
        <v>193</v>
      </c>
      <c r="U183" s="202" t="s">
        <v>817</v>
      </c>
      <c r="V183" s="194" t="s">
        <v>818</v>
      </c>
      <c r="W183" s="195" t="s">
        <v>551</v>
      </c>
      <c r="X183" s="195" t="s">
        <v>681</v>
      </c>
      <c r="Y183" s="195" t="s">
        <v>561</v>
      </c>
      <c r="Z183" s="195" t="s">
        <v>677</v>
      </c>
      <c r="AA183" s="195" t="s">
        <v>557</v>
      </c>
      <c r="AB183" s="195" t="s">
        <v>11</v>
      </c>
      <c r="AC183" s="195" t="s">
        <v>678</v>
      </c>
    </row>
    <row r="184">
      <c r="A184" s="150">
        <v>490.0</v>
      </c>
      <c r="B184" s="200" t="s">
        <v>27</v>
      </c>
      <c r="C184" s="171" t="s">
        <v>353</v>
      </c>
      <c r="D184" s="195" t="s">
        <v>28</v>
      </c>
      <c r="E184" s="175">
        <v>1890.0</v>
      </c>
      <c r="F184" s="175">
        <v>115.0</v>
      </c>
      <c r="G184" s="175">
        <v>293.0</v>
      </c>
      <c r="H184" s="175">
        <v>0.0</v>
      </c>
      <c r="I184" s="175">
        <v>157.0</v>
      </c>
      <c r="J184" s="175">
        <v>212.0</v>
      </c>
      <c r="K184" s="175">
        <v>272.0</v>
      </c>
      <c r="L184" s="175" t="s">
        <v>29</v>
      </c>
      <c r="M184" s="175">
        <v>45.0</v>
      </c>
      <c r="N184" s="175">
        <v>225.0</v>
      </c>
      <c r="O184" s="175">
        <v>44.0</v>
      </c>
      <c r="P184" s="175">
        <v>218.0</v>
      </c>
      <c r="Q184" s="175">
        <v>9.0</v>
      </c>
      <c r="R184" s="175">
        <v>0.0</v>
      </c>
      <c r="S184" s="175">
        <v>0.0</v>
      </c>
      <c r="T184" s="147" t="s">
        <v>269</v>
      </c>
      <c r="U184" s="193" t="s">
        <v>819</v>
      </c>
      <c r="V184" s="202" t="s">
        <v>820</v>
      </c>
      <c r="W184" s="195" t="s">
        <v>551</v>
      </c>
      <c r="X184" s="195" t="s">
        <v>821</v>
      </c>
      <c r="Y184" s="195" t="s">
        <v>561</v>
      </c>
      <c r="Z184" s="195" t="s">
        <v>27</v>
      </c>
      <c r="AA184" s="195" t="s">
        <v>557</v>
      </c>
      <c r="AB184" s="195" t="s">
        <v>11</v>
      </c>
      <c r="AC184" s="195" t="s">
        <v>624</v>
      </c>
    </row>
    <row r="185">
      <c r="A185" s="150">
        <v>491.0</v>
      </c>
      <c r="B185" s="200" t="s">
        <v>27</v>
      </c>
      <c r="C185" s="171" t="s">
        <v>354</v>
      </c>
      <c r="D185" s="195" t="s">
        <v>28</v>
      </c>
      <c r="E185" s="175">
        <v>2528.0</v>
      </c>
      <c r="F185" s="175">
        <v>132.0</v>
      </c>
      <c r="G185" s="175">
        <v>234.0</v>
      </c>
      <c r="H185" s="175">
        <v>0.0</v>
      </c>
      <c r="I185" s="175">
        <v>182.0</v>
      </c>
      <c r="J185" s="175">
        <v>202.0</v>
      </c>
      <c r="K185" s="175">
        <v>226.0</v>
      </c>
      <c r="L185" s="175" t="s">
        <v>29</v>
      </c>
      <c r="M185" s="175">
        <v>45.0</v>
      </c>
      <c r="N185" s="175">
        <v>206.0</v>
      </c>
      <c r="O185" s="175">
        <v>42.0</v>
      </c>
      <c r="P185" s="175">
        <v>202.0</v>
      </c>
      <c r="Q185" s="175">
        <v>9.0</v>
      </c>
      <c r="R185" s="175">
        <v>0.0</v>
      </c>
      <c r="S185" s="175">
        <v>0.0</v>
      </c>
      <c r="T185" s="147" t="s">
        <v>212</v>
      </c>
      <c r="U185" s="193" t="s">
        <v>822</v>
      </c>
      <c r="V185" s="181" t="s">
        <v>783</v>
      </c>
      <c r="W185" s="195" t="s">
        <v>551</v>
      </c>
      <c r="X185" s="195" t="s">
        <v>781</v>
      </c>
      <c r="Y185" s="195" t="s">
        <v>561</v>
      </c>
      <c r="Z185" s="195" t="s">
        <v>27</v>
      </c>
      <c r="AA185" s="195" t="s">
        <v>557</v>
      </c>
      <c r="AB185" s="195" t="s">
        <v>11</v>
      </c>
      <c r="AC185" s="195" t="s">
        <v>782</v>
      </c>
    </row>
    <row r="186">
      <c r="A186" s="150">
        <v>497.0</v>
      </c>
      <c r="B186" s="200" t="s">
        <v>27</v>
      </c>
      <c r="C186" s="171" t="s">
        <v>364</v>
      </c>
      <c r="D186" s="195" t="s">
        <v>28</v>
      </c>
      <c r="E186" s="175">
        <v>2218.0</v>
      </c>
      <c r="F186" s="175">
        <v>144.0</v>
      </c>
      <c r="G186" s="175">
        <v>282.0</v>
      </c>
      <c r="H186" s="175">
        <v>0.0</v>
      </c>
      <c r="I186" s="175">
        <v>153.0</v>
      </c>
      <c r="J186" s="175">
        <v>202.0</v>
      </c>
      <c r="K186" s="175">
        <v>213.0</v>
      </c>
      <c r="L186" s="175" t="s">
        <v>29</v>
      </c>
      <c r="M186" s="175">
        <v>45.0</v>
      </c>
      <c r="N186" s="175">
        <v>206.0</v>
      </c>
      <c r="O186" s="175">
        <v>70.0</v>
      </c>
      <c r="P186" s="175">
        <v>202.0</v>
      </c>
      <c r="Q186" s="175">
        <v>9.0</v>
      </c>
      <c r="R186" s="175">
        <v>0.0</v>
      </c>
      <c r="S186" s="175">
        <v>0.0</v>
      </c>
      <c r="T186" s="147" t="s">
        <v>212</v>
      </c>
      <c r="U186" s="193" t="s">
        <v>823</v>
      </c>
      <c r="V186" s="194" t="s">
        <v>824</v>
      </c>
      <c r="W186" s="195" t="s">
        <v>551</v>
      </c>
      <c r="X186" s="195" t="s">
        <v>781</v>
      </c>
      <c r="Y186" s="195" t="s">
        <v>561</v>
      </c>
      <c r="Z186" s="195" t="s">
        <v>27</v>
      </c>
      <c r="AA186" s="195" t="s">
        <v>557</v>
      </c>
      <c r="AB186" s="195" t="s">
        <v>11</v>
      </c>
      <c r="AC186" s="195" t="s">
        <v>825</v>
      </c>
    </row>
    <row r="187">
      <c r="A187" s="150">
        <v>499.0</v>
      </c>
      <c r="B187" s="200" t="s">
        <v>27</v>
      </c>
      <c r="C187" s="171" t="s">
        <v>366</v>
      </c>
      <c r="D187" s="195" t="s">
        <v>28</v>
      </c>
      <c r="E187" s="175">
        <v>2332.0</v>
      </c>
      <c r="F187" s="175">
        <v>132.0</v>
      </c>
      <c r="G187" s="175">
        <v>239.0</v>
      </c>
      <c r="H187" s="175">
        <v>0.0</v>
      </c>
      <c r="I187" s="175">
        <v>171.0</v>
      </c>
      <c r="J187" s="175">
        <v>202.0</v>
      </c>
      <c r="K187" s="175">
        <v>226.0</v>
      </c>
      <c r="L187" s="175" t="s">
        <v>29</v>
      </c>
      <c r="M187" s="175">
        <v>45.0</v>
      </c>
      <c r="N187" s="175">
        <v>206.0</v>
      </c>
      <c r="O187" s="175">
        <v>45.0</v>
      </c>
      <c r="P187" s="175">
        <v>207.0</v>
      </c>
      <c r="Q187" s="175">
        <v>9.0</v>
      </c>
      <c r="R187" s="175">
        <v>0.0</v>
      </c>
      <c r="S187" s="175">
        <v>0.0</v>
      </c>
      <c r="T187" s="147" t="s">
        <v>212</v>
      </c>
      <c r="U187" s="194" t="s">
        <v>826</v>
      </c>
      <c r="V187" s="181" t="s">
        <v>783</v>
      </c>
      <c r="W187" s="195" t="s">
        <v>551</v>
      </c>
      <c r="X187" s="195" t="s">
        <v>781</v>
      </c>
      <c r="Y187" s="195" t="s">
        <v>561</v>
      </c>
      <c r="Z187" s="195" t="s">
        <v>27</v>
      </c>
      <c r="AA187" s="195" t="s">
        <v>557</v>
      </c>
      <c r="AB187" s="195" t="s">
        <v>11</v>
      </c>
      <c r="AC187" s="195" t="s">
        <v>782</v>
      </c>
    </row>
    <row r="188">
      <c r="A188" s="150">
        <v>504.0</v>
      </c>
      <c r="B188" s="200" t="s">
        <v>27</v>
      </c>
      <c r="C188" s="171" t="s">
        <v>373</v>
      </c>
      <c r="D188" s="195" t="s">
        <v>28</v>
      </c>
      <c r="E188" s="175">
        <v>1865.0</v>
      </c>
      <c r="F188" s="175">
        <v>110.0</v>
      </c>
      <c r="G188" s="175">
        <v>297.0</v>
      </c>
      <c r="H188" s="175">
        <v>0.0</v>
      </c>
      <c r="I188" s="175">
        <v>164.0</v>
      </c>
      <c r="J188" s="175">
        <v>212.0</v>
      </c>
      <c r="K188" s="175">
        <v>278.0</v>
      </c>
      <c r="L188" s="175" t="s">
        <v>29</v>
      </c>
      <c r="M188" s="175">
        <v>45.0</v>
      </c>
      <c r="N188" s="175">
        <v>225.0</v>
      </c>
      <c r="O188" s="175">
        <v>56.0</v>
      </c>
      <c r="P188" s="175">
        <v>195.0</v>
      </c>
      <c r="Q188" s="175">
        <v>9.0</v>
      </c>
      <c r="R188" s="175">
        <v>0.0</v>
      </c>
      <c r="S188" s="175">
        <v>0.0</v>
      </c>
      <c r="T188" s="147" t="s">
        <v>269</v>
      </c>
      <c r="U188" s="194" t="s">
        <v>827</v>
      </c>
      <c r="V188" s="193" t="s">
        <v>828</v>
      </c>
      <c r="W188" s="195" t="s">
        <v>551</v>
      </c>
      <c r="X188" s="195" t="s">
        <v>829</v>
      </c>
      <c r="Y188" s="195" t="s">
        <v>561</v>
      </c>
      <c r="Z188" s="195" t="s">
        <v>27</v>
      </c>
      <c r="AA188" s="195" t="s">
        <v>557</v>
      </c>
      <c r="AB188" s="195" t="s">
        <v>11</v>
      </c>
      <c r="AC188" s="195" t="s">
        <v>830</v>
      </c>
    </row>
    <row r="189">
      <c r="A189" s="150">
        <v>505.0</v>
      </c>
      <c r="B189" s="200" t="s">
        <v>27</v>
      </c>
      <c r="C189" s="171" t="s">
        <v>374</v>
      </c>
      <c r="D189" s="195" t="s">
        <v>28</v>
      </c>
      <c r="E189" s="175">
        <v>1826.0</v>
      </c>
      <c r="F189" s="175">
        <v>117.0</v>
      </c>
      <c r="G189" s="175">
        <v>303.0</v>
      </c>
      <c r="H189" s="175">
        <v>0.0</v>
      </c>
      <c r="I189" s="175">
        <v>157.0</v>
      </c>
      <c r="J189" s="175">
        <v>212.0</v>
      </c>
      <c r="K189" s="175">
        <v>272.0</v>
      </c>
      <c r="L189" s="175" t="s">
        <v>29</v>
      </c>
      <c r="M189" s="175">
        <v>45.0</v>
      </c>
      <c r="N189" s="175">
        <v>225.0</v>
      </c>
      <c r="O189" s="175">
        <v>42.0</v>
      </c>
      <c r="P189" s="175">
        <v>187.0</v>
      </c>
      <c r="Q189" s="175">
        <v>9.0</v>
      </c>
      <c r="R189" s="175">
        <v>0.0</v>
      </c>
      <c r="S189" s="175">
        <v>0.0</v>
      </c>
      <c r="T189" s="147" t="s">
        <v>269</v>
      </c>
      <c r="U189" s="193" t="s">
        <v>831</v>
      </c>
      <c r="V189" s="194" t="s">
        <v>832</v>
      </c>
      <c r="W189" s="195" t="s">
        <v>551</v>
      </c>
      <c r="X189" s="195" t="s">
        <v>829</v>
      </c>
      <c r="Y189" s="195" t="s">
        <v>561</v>
      </c>
      <c r="Z189" s="195" t="s">
        <v>27</v>
      </c>
      <c r="AA189" s="195" t="s">
        <v>557</v>
      </c>
      <c r="AB189" s="195" t="s">
        <v>11</v>
      </c>
      <c r="AC189" s="195" t="s">
        <v>830</v>
      </c>
    </row>
    <row r="190">
      <c r="A190" s="150">
        <v>506.0</v>
      </c>
      <c r="B190" s="200" t="s">
        <v>27</v>
      </c>
      <c r="C190" s="171" t="s">
        <v>375</v>
      </c>
      <c r="D190" s="195" t="s">
        <v>28</v>
      </c>
      <c r="E190" s="175">
        <v>1895.0</v>
      </c>
      <c r="F190" s="175">
        <v>117.0</v>
      </c>
      <c r="G190" s="175">
        <v>283.0</v>
      </c>
      <c r="H190" s="175">
        <v>0.0</v>
      </c>
      <c r="I190" s="175">
        <v>175.0</v>
      </c>
      <c r="J190" s="175">
        <v>202.0</v>
      </c>
      <c r="K190" s="175">
        <v>269.0</v>
      </c>
      <c r="L190" s="175" t="s">
        <v>29</v>
      </c>
      <c r="M190" s="175">
        <v>39.0</v>
      </c>
      <c r="N190" s="175">
        <v>210.0</v>
      </c>
      <c r="O190" s="175">
        <v>82.0</v>
      </c>
      <c r="P190" s="175">
        <v>209.0</v>
      </c>
      <c r="Q190" s="175">
        <v>9.0</v>
      </c>
      <c r="R190" s="175">
        <v>0.0</v>
      </c>
      <c r="S190" s="175">
        <v>0.0</v>
      </c>
      <c r="T190" s="147" t="s">
        <v>269</v>
      </c>
      <c r="U190" s="194" t="s">
        <v>833</v>
      </c>
      <c r="V190" s="172" t="s">
        <v>834</v>
      </c>
      <c r="W190" s="195" t="s">
        <v>551</v>
      </c>
      <c r="X190" s="195" t="s">
        <v>835</v>
      </c>
      <c r="Y190" s="195" t="s">
        <v>561</v>
      </c>
      <c r="Z190" s="195" t="s">
        <v>27</v>
      </c>
      <c r="AA190" s="195" t="s">
        <v>557</v>
      </c>
      <c r="AB190" s="195" t="s">
        <v>11</v>
      </c>
      <c r="AC190" s="195" t="s">
        <v>836</v>
      </c>
    </row>
    <row r="191">
      <c r="A191" s="150">
        <v>507.0</v>
      </c>
      <c r="B191" s="200" t="s">
        <v>27</v>
      </c>
      <c r="C191" s="171" t="s">
        <v>376</v>
      </c>
      <c r="D191" s="195" t="s">
        <v>36</v>
      </c>
      <c r="E191" s="175">
        <v>1599.0</v>
      </c>
      <c r="F191" s="175">
        <v>60.0</v>
      </c>
      <c r="G191" s="175">
        <v>409.0</v>
      </c>
      <c r="H191" s="175">
        <v>0.0</v>
      </c>
      <c r="I191" s="175">
        <v>133.0</v>
      </c>
      <c r="J191" s="175">
        <v>205.0</v>
      </c>
      <c r="K191" s="175">
        <v>250.0</v>
      </c>
      <c r="L191" s="175" t="s">
        <v>29</v>
      </c>
      <c r="M191" s="175">
        <v>44.0</v>
      </c>
      <c r="N191" s="175">
        <v>206.0</v>
      </c>
      <c r="O191" s="175">
        <v>42.0</v>
      </c>
      <c r="P191" s="175">
        <v>198.0</v>
      </c>
      <c r="Q191" s="175">
        <v>7.0</v>
      </c>
      <c r="R191" s="175">
        <v>0.0</v>
      </c>
      <c r="S191" s="175">
        <v>0.0</v>
      </c>
      <c r="T191" s="147" t="s">
        <v>143</v>
      </c>
      <c r="U191" s="194" t="s">
        <v>837</v>
      </c>
      <c r="V191" s="195" t="s">
        <v>551</v>
      </c>
      <c r="W191" s="195" t="s">
        <v>551</v>
      </c>
      <c r="X191" s="195" t="s">
        <v>701</v>
      </c>
      <c r="Y191" s="195" t="s">
        <v>556</v>
      </c>
      <c r="Z191" s="195" t="s">
        <v>27</v>
      </c>
      <c r="AA191" s="195" t="s">
        <v>557</v>
      </c>
      <c r="AB191" s="195" t="s">
        <v>11</v>
      </c>
      <c r="AC191" s="195" t="s">
        <v>702</v>
      </c>
    </row>
    <row r="192">
      <c r="A192" s="150">
        <v>508.0</v>
      </c>
      <c r="B192" s="200" t="s">
        <v>27</v>
      </c>
      <c r="C192" s="171" t="s">
        <v>378</v>
      </c>
      <c r="D192" s="195" t="s">
        <v>32</v>
      </c>
      <c r="E192" s="175">
        <v>2588.0</v>
      </c>
      <c r="F192" s="175">
        <v>142.0</v>
      </c>
      <c r="G192" s="175">
        <v>378.0</v>
      </c>
      <c r="H192" s="175">
        <v>0.0</v>
      </c>
      <c r="I192" s="175">
        <v>238.0</v>
      </c>
      <c r="J192" s="175">
        <v>232.0</v>
      </c>
      <c r="K192" s="175">
        <v>230.0</v>
      </c>
      <c r="L192" s="175" t="s">
        <v>29</v>
      </c>
      <c r="M192" s="175">
        <v>40.0</v>
      </c>
      <c r="N192" s="201">
        <v>235.0</v>
      </c>
      <c r="O192" s="175">
        <v>80.0</v>
      </c>
      <c r="P192" s="175">
        <v>224.0</v>
      </c>
      <c r="Q192" s="175">
        <v>10.0</v>
      </c>
      <c r="R192" s="175">
        <v>0.0</v>
      </c>
      <c r="S192" s="175">
        <v>0.0</v>
      </c>
      <c r="T192" s="147" t="s">
        <v>37</v>
      </c>
      <c r="U192" s="193" t="s">
        <v>838</v>
      </c>
      <c r="V192" s="202" t="s">
        <v>839</v>
      </c>
      <c r="W192" s="195" t="s">
        <v>551</v>
      </c>
      <c r="X192" s="195" t="s">
        <v>791</v>
      </c>
      <c r="Y192" s="195" t="s">
        <v>561</v>
      </c>
      <c r="Z192" s="195" t="s">
        <v>27</v>
      </c>
      <c r="AA192" s="195" t="s">
        <v>557</v>
      </c>
      <c r="AB192" s="195" t="s">
        <v>11</v>
      </c>
      <c r="AC192" s="195" t="s">
        <v>840</v>
      </c>
    </row>
    <row r="193">
      <c r="A193" s="150">
        <v>509.0</v>
      </c>
      <c r="B193" s="200" t="s">
        <v>27</v>
      </c>
      <c r="C193" s="171" t="s">
        <v>380</v>
      </c>
      <c r="D193" s="195" t="s">
        <v>28</v>
      </c>
      <c r="E193" s="175">
        <v>2208.0</v>
      </c>
      <c r="F193" s="175">
        <v>91.0</v>
      </c>
      <c r="G193" s="175">
        <v>296.0</v>
      </c>
      <c r="H193" s="175">
        <v>0.0</v>
      </c>
      <c r="I193" s="175">
        <v>185.0</v>
      </c>
      <c r="J193" s="175">
        <v>207.0</v>
      </c>
      <c r="K193" s="175">
        <v>206.0</v>
      </c>
      <c r="L193" s="175" t="s">
        <v>29</v>
      </c>
      <c r="M193" s="175">
        <v>42.0</v>
      </c>
      <c r="N193" s="175">
        <v>222.0</v>
      </c>
      <c r="O193" s="175">
        <v>70.0</v>
      </c>
      <c r="P193" s="175">
        <v>215.0</v>
      </c>
      <c r="Q193" s="175">
        <v>9.0</v>
      </c>
      <c r="R193" s="175">
        <v>0.0</v>
      </c>
      <c r="S193" s="175">
        <v>0.0</v>
      </c>
      <c r="T193" s="147" t="s">
        <v>37</v>
      </c>
      <c r="U193" s="202" t="s">
        <v>841</v>
      </c>
      <c r="V193" s="206" t="s">
        <v>577</v>
      </c>
      <c r="W193" s="195" t="s">
        <v>551</v>
      </c>
      <c r="X193" s="195" t="s">
        <v>573</v>
      </c>
      <c r="Y193" s="195" t="s">
        <v>556</v>
      </c>
      <c r="Z193" s="195" t="s">
        <v>27</v>
      </c>
      <c r="AA193" s="195" t="s">
        <v>557</v>
      </c>
      <c r="AB193" s="195" t="s">
        <v>11</v>
      </c>
      <c r="AC193" s="195" t="s">
        <v>558</v>
      </c>
    </row>
    <row r="194">
      <c r="A194" s="150">
        <v>515.0</v>
      </c>
      <c r="B194" s="200" t="s">
        <v>27</v>
      </c>
      <c r="C194" s="207" t="s">
        <v>387</v>
      </c>
      <c r="D194" s="195" t="s">
        <v>28</v>
      </c>
      <c r="E194" s="175">
        <v>2167.0</v>
      </c>
      <c r="F194" s="175">
        <v>85.0</v>
      </c>
      <c r="G194" s="175">
        <v>293.0</v>
      </c>
      <c r="H194" s="175">
        <v>0.0</v>
      </c>
      <c r="I194" s="175">
        <v>182.0</v>
      </c>
      <c r="J194" s="175">
        <v>212.0</v>
      </c>
      <c r="K194" s="175">
        <v>206.0</v>
      </c>
      <c r="L194" s="175" t="s">
        <v>29</v>
      </c>
      <c r="M194" s="175">
        <v>42.0</v>
      </c>
      <c r="N194" s="175">
        <v>231.0</v>
      </c>
      <c r="O194" s="175">
        <v>48.0</v>
      </c>
      <c r="P194" s="175">
        <v>218.0</v>
      </c>
      <c r="Q194" s="175">
        <v>9.0</v>
      </c>
      <c r="R194" s="175">
        <v>0.0</v>
      </c>
      <c r="S194" s="175">
        <v>0.0</v>
      </c>
      <c r="T194" s="160" t="s">
        <v>37</v>
      </c>
      <c r="U194" s="194" t="s">
        <v>842</v>
      </c>
      <c r="V194" s="206" t="s">
        <v>589</v>
      </c>
      <c r="W194" s="195" t="s">
        <v>551</v>
      </c>
      <c r="X194" s="195" t="s">
        <v>573</v>
      </c>
      <c r="Y194" s="195" t="s">
        <v>556</v>
      </c>
      <c r="Z194" s="195" t="s">
        <v>27</v>
      </c>
      <c r="AA194" s="195" t="s">
        <v>557</v>
      </c>
      <c r="AB194" s="195" t="s">
        <v>11</v>
      </c>
      <c r="AC194" s="195" t="s">
        <v>576</v>
      </c>
    </row>
    <row r="195">
      <c r="A195" s="150">
        <v>517.0</v>
      </c>
      <c r="B195" s="200" t="s">
        <v>27</v>
      </c>
      <c r="C195" s="171" t="s">
        <v>390</v>
      </c>
      <c r="D195" s="195" t="s">
        <v>32</v>
      </c>
      <c r="E195" s="175">
        <v>2293.0</v>
      </c>
      <c r="F195" s="175">
        <v>75.0</v>
      </c>
      <c r="G195" s="175">
        <v>563.0</v>
      </c>
      <c r="H195" s="175">
        <v>0.0</v>
      </c>
      <c r="I195" s="175">
        <v>164.0</v>
      </c>
      <c r="J195" s="175">
        <v>226.0</v>
      </c>
      <c r="K195" s="175">
        <v>246.0</v>
      </c>
      <c r="L195" s="175" t="s">
        <v>29</v>
      </c>
      <c r="M195" s="175">
        <v>42.0</v>
      </c>
      <c r="N195" s="175">
        <v>225.0</v>
      </c>
      <c r="O195" s="175">
        <v>51.0</v>
      </c>
      <c r="P195" s="175">
        <v>184.0</v>
      </c>
      <c r="Q195" s="175">
        <v>10.0</v>
      </c>
      <c r="R195" s="175">
        <v>0.0</v>
      </c>
      <c r="S195" s="175">
        <v>0.0</v>
      </c>
      <c r="T195" s="147" t="s">
        <v>143</v>
      </c>
      <c r="U195" s="193" t="s">
        <v>843</v>
      </c>
      <c r="V195" s="208" t="s">
        <v>844</v>
      </c>
      <c r="W195" s="195" t="s">
        <v>551</v>
      </c>
      <c r="X195" s="195" t="s">
        <v>845</v>
      </c>
      <c r="Y195" s="195" t="s">
        <v>567</v>
      </c>
      <c r="Z195" s="195" t="s">
        <v>27</v>
      </c>
      <c r="AA195" s="195" t="s">
        <v>557</v>
      </c>
      <c r="AB195" s="195" t="s">
        <v>11</v>
      </c>
      <c r="AC195" s="195" t="s">
        <v>846</v>
      </c>
    </row>
    <row r="196">
      <c r="A196" s="150">
        <v>518.0</v>
      </c>
      <c r="B196" s="200" t="s">
        <v>27</v>
      </c>
      <c r="C196" s="171" t="s">
        <v>391</v>
      </c>
      <c r="D196" s="195" t="s">
        <v>32</v>
      </c>
      <c r="E196" s="175">
        <v>2458.0</v>
      </c>
      <c r="F196" s="175">
        <v>139.0</v>
      </c>
      <c r="G196" s="175">
        <v>383.0</v>
      </c>
      <c r="H196" s="175">
        <v>0.0</v>
      </c>
      <c r="I196" s="175">
        <v>236.0</v>
      </c>
      <c r="J196" s="175">
        <v>232.0</v>
      </c>
      <c r="K196" s="175">
        <v>230.0</v>
      </c>
      <c r="L196" s="175" t="s">
        <v>29</v>
      </c>
      <c r="M196" s="175">
        <v>40.0</v>
      </c>
      <c r="N196" s="201">
        <v>235.0</v>
      </c>
      <c r="O196" s="175">
        <v>75.0</v>
      </c>
      <c r="P196" s="175">
        <v>224.0</v>
      </c>
      <c r="Q196" s="175">
        <v>10.0</v>
      </c>
      <c r="R196" s="175">
        <v>0.0</v>
      </c>
      <c r="S196" s="175">
        <v>0.0</v>
      </c>
      <c r="T196" s="147" t="s">
        <v>37</v>
      </c>
      <c r="U196" s="193" t="s">
        <v>847</v>
      </c>
      <c r="V196" s="181" t="s">
        <v>848</v>
      </c>
      <c r="W196" s="195" t="s">
        <v>551</v>
      </c>
      <c r="X196" s="195" t="s">
        <v>849</v>
      </c>
      <c r="Y196" s="195" t="s">
        <v>556</v>
      </c>
      <c r="Z196" s="195" t="s">
        <v>27</v>
      </c>
      <c r="AA196" s="195" t="s">
        <v>557</v>
      </c>
      <c r="AB196" s="195" t="s">
        <v>11</v>
      </c>
      <c r="AC196" s="195" t="s">
        <v>850</v>
      </c>
    </row>
    <row r="197">
      <c r="A197" s="150">
        <v>522.0</v>
      </c>
      <c r="B197" s="200" t="s">
        <v>27</v>
      </c>
      <c r="C197" s="171" t="s">
        <v>508</v>
      </c>
      <c r="D197" s="195" t="s">
        <v>32</v>
      </c>
      <c r="E197" s="175">
        <v>2167.0</v>
      </c>
      <c r="F197" s="175">
        <v>143.0</v>
      </c>
      <c r="G197" s="175">
        <v>274.0</v>
      </c>
      <c r="H197" s="175">
        <v>0.0</v>
      </c>
      <c r="I197" s="175">
        <v>135.0</v>
      </c>
      <c r="J197" s="175">
        <v>202.0</v>
      </c>
      <c r="K197" s="175">
        <v>314.0</v>
      </c>
      <c r="L197" s="175" t="s">
        <v>29</v>
      </c>
      <c r="M197" s="175">
        <v>54.0</v>
      </c>
      <c r="N197" s="175">
        <v>205.0</v>
      </c>
      <c r="O197" s="175">
        <v>75.0</v>
      </c>
      <c r="P197" s="175">
        <v>198.0</v>
      </c>
      <c r="Q197" s="175">
        <v>10.0</v>
      </c>
      <c r="R197" s="175">
        <v>0.0</v>
      </c>
      <c r="S197" s="175">
        <v>0.0</v>
      </c>
      <c r="T197" s="147" t="s">
        <v>243</v>
      </c>
      <c r="U197" s="193" t="s">
        <v>851</v>
      </c>
      <c r="V197" s="194" t="s">
        <v>852</v>
      </c>
      <c r="W197" s="195" t="s">
        <v>551</v>
      </c>
      <c r="X197" s="195" t="s">
        <v>853</v>
      </c>
      <c r="Y197" s="160" t="s">
        <v>561</v>
      </c>
      <c r="Z197" s="160" t="s">
        <v>27</v>
      </c>
      <c r="AA197" s="160" t="s">
        <v>557</v>
      </c>
      <c r="AB197" s="160" t="s">
        <v>11</v>
      </c>
      <c r="AC197" s="195" t="s">
        <v>768</v>
      </c>
    </row>
    <row r="198">
      <c r="A198" s="150">
        <v>523.0</v>
      </c>
      <c r="B198" s="200" t="s">
        <v>27</v>
      </c>
      <c r="C198" s="171" t="s">
        <v>509</v>
      </c>
      <c r="D198" s="195" t="s">
        <v>28</v>
      </c>
      <c r="E198" s="175">
        <v>1914.0</v>
      </c>
      <c r="F198" s="175">
        <v>110.0</v>
      </c>
      <c r="G198" s="175">
        <v>274.0</v>
      </c>
      <c r="H198" s="175">
        <v>0.0</v>
      </c>
      <c r="I198" s="175">
        <v>157.0</v>
      </c>
      <c r="J198" s="175">
        <v>209.0</v>
      </c>
      <c r="K198" s="175">
        <v>272.0</v>
      </c>
      <c r="L198" s="175" t="s">
        <v>29</v>
      </c>
      <c r="M198" s="175">
        <v>43.0</v>
      </c>
      <c r="N198" s="175">
        <v>212.0</v>
      </c>
      <c r="O198" s="175">
        <v>35.0</v>
      </c>
      <c r="P198" s="175">
        <v>214.0</v>
      </c>
      <c r="Q198" s="175">
        <v>9.0</v>
      </c>
      <c r="R198" s="175">
        <v>0.0</v>
      </c>
      <c r="S198" s="175">
        <v>0.0</v>
      </c>
      <c r="T198" s="147" t="s">
        <v>243</v>
      </c>
      <c r="U198" s="193" t="s">
        <v>854</v>
      </c>
      <c r="V198" s="195" t="s">
        <v>551</v>
      </c>
      <c r="W198" s="195" t="s">
        <v>551</v>
      </c>
      <c r="X198" s="195" t="s">
        <v>795</v>
      </c>
      <c r="Y198" s="160" t="s">
        <v>561</v>
      </c>
      <c r="Z198" s="160" t="s">
        <v>27</v>
      </c>
      <c r="AA198" s="160" t="s">
        <v>557</v>
      </c>
      <c r="AB198" s="160" t="s">
        <v>11</v>
      </c>
      <c r="AC198" s="195" t="s">
        <v>796</v>
      </c>
    </row>
    <row r="199">
      <c r="A199" s="156" t="s">
        <v>413</v>
      </c>
      <c r="B199" s="159" t="s">
        <v>27</v>
      </c>
      <c r="C199" s="157" t="str">
        <f>HYPERLINK("https://azurlane.koumakan.jp/Blanc","Blanc")</f>
        <v>Blanc</v>
      </c>
      <c r="D199" s="185" t="s">
        <v>28</v>
      </c>
      <c r="E199" s="144">
        <v>1844.0</v>
      </c>
      <c r="F199" s="144">
        <v>70.0</v>
      </c>
      <c r="G199" s="144">
        <v>444.0</v>
      </c>
      <c r="H199" s="144">
        <v>0.0</v>
      </c>
      <c r="I199" s="144">
        <v>151.0</v>
      </c>
      <c r="J199" s="144">
        <v>209.0</v>
      </c>
      <c r="K199" s="144">
        <v>225.0</v>
      </c>
      <c r="L199" s="144" t="s">
        <v>29</v>
      </c>
      <c r="M199" s="144">
        <v>45.0</v>
      </c>
      <c r="N199" s="165">
        <v>212.0</v>
      </c>
      <c r="O199" s="165">
        <v>71.0</v>
      </c>
      <c r="P199" s="144">
        <v>202.0</v>
      </c>
      <c r="Q199" s="144">
        <v>9.0</v>
      </c>
      <c r="R199" s="144">
        <v>0.0</v>
      </c>
      <c r="S199" s="144">
        <v>0.0</v>
      </c>
      <c r="T199" s="147" t="s">
        <v>409</v>
      </c>
      <c r="U199" s="206" t="s">
        <v>855</v>
      </c>
      <c r="V199" s="159" t="s">
        <v>551</v>
      </c>
      <c r="W199" s="159" t="s">
        <v>551</v>
      </c>
      <c r="X199" s="160" t="s">
        <v>551</v>
      </c>
      <c r="Y199" s="160" t="s">
        <v>567</v>
      </c>
      <c r="Z199" s="160" t="s">
        <v>27</v>
      </c>
      <c r="AA199" s="160" t="s">
        <v>557</v>
      </c>
      <c r="AB199" s="160" t="s">
        <v>11</v>
      </c>
      <c r="AC199" s="160" t="s">
        <v>645</v>
      </c>
    </row>
    <row r="200">
      <c r="A200" s="156" t="s">
        <v>418</v>
      </c>
      <c r="B200" s="159" t="s">
        <v>27</v>
      </c>
      <c r="C200" s="157" t="str">
        <f>HYPERLINK("https://azurlane.koumakan.jp/White_Heart","White Heart")</f>
        <v>White Heart</v>
      </c>
      <c r="D200" s="185" t="s">
        <v>32</v>
      </c>
      <c r="E200" s="144">
        <v>1993.0</v>
      </c>
      <c r="F200" s="144">
        <v>75.0</v>
      </c>
      <c r="G200" s="144">
        <v>481.0</v>
      </c>
      <c r="H200" s="144">
        <v>0.0</v>
      </c>
      <c r="I200" s="144">
        <v>157.0</v>
      </c>
      <c r="J200" s="144">
        <v>218.0</v>
      </c>
      <c r="K200" s="144">
        <v>230.0</v>
      </c>
      <c r="L200" s="144" t="s">
        <v>29</v>
      </c>
      <c r="M200" s="144">
        <v>45.0</v>
      </c>
      <c r="N200" s="165">
        <v>212.0</v>
      </c>
      <c r="O200" s="165">
        <v>73.0</v>
      </c>
      <c r="P200" s="144">
        <v>208.0</v>
      </c>
      <c r="Q200" s="144">
        <v>10.0</v>
      </c>
      <c r="R200" s="144">
        <v>0.0</v>
      </c>
      <c r="S200" s="144">
        <v>0.0</v>
      </c>
      <c r="T200" s="147" t="s">
        <v>409</v>
      </c>
      <c r="U200" s="188" t="s">
        <v>856</v>
      </c>
      <c r="V200" s="188" t="s">
        <v>857</v>
      </c>
      <c r="W200" s="159" t="s">
        <v>551</v>
      </c>
      <c r="X200" s="160" t="s">
        <v>551</v>
      </c>
      <c r="Y200" s="160" t="s">
        <v>567</v>
      </c>
      <c r="Z200" s="160" t="s">
        <v>27</v>
      </c>
      <c r="AA200" s="160" t="s">
        <v>557</v>
      </c>
      <c r="AB200" s="160" t="s">
        <v>11</v>
      </c>
      <c r="AC200" s="160" t="s">
        <v>777</v>
      </c>
    </row>
    <row r="201">
      <c r="A201" s="156" t="s">
        <v>420</v>
      </c>
      <c r="B201" s="159" t="s">
        <v>27</v>
      </c>
      <c r="C201" s="157" t="str">
        <f>HYPERLINK("https://azurlane.koumakan.jp/Kizuna_AI","Kizuna Ai")</f>
        <v>Kizuna Ai</v>
      </c>
      <c r="D201" s="185" t="s">
        <v>28</v>
      </c>
      <c r="E201" s="144">
        <v>1811.0</v>
      </c>
      <c r="F201" s="144">
        <v>75.0</v>
      </c>
      <c r="G201" s="144">
        <v>479.0</v>
      </c>
      <c r="H201" s="144">
        <v>0.0</v>
      </c>
      <c r="I201" s="144">
        <v>170.0</v>
      </c>
      <c r="J201" s="144">
        <v>203.0</v>
      </c>
      <c r="K201" s="144">
        <v>250.0</v>
      </c>
      <c r="L201" s="144" t="s">
        <v>29</v>
      </c>
      <c r="M201" s="144">
        <v>42.0</v>
      </c>
      <c r="N201" s="144">
        <v>202.0</v>
      </c>
      <c r="O201" s="144">
        <v>66.0</v>
      </c>
      <c r="P201" s="144">
        <v>225.0</v>
      </c>
      <c r="Q201" s="144">
        <v>9.0</v>
      </c>
      <c r="R201" s="144">
        <v>0.0</v>
      </c>
      <c r="S201" s="144">
        <v>0.0</v>
      </c>
      <c r="T201" s="147" t="s">
        <v>421</v>
      </c>
      <c r="U201" s="206" t="s">
        <v>858</v>
      </c>
      <c r="V201" s="188" t="s">
        <v>859</v>
      </c>
      <c r="W201" s="159" t="s">
        <v>551</v>
      </c>
      <c r="X201" s="160" t="s">
        <v>551</v>
      </c>
      <c r="Y201" s="160" t="s">
        <v>567</v>
      </c>
      <c r="Z201" s="160" t="s">
        <v>27</v>
      </c>
      <c r="AA201" s="160" t="s">
        <v>557</v>
      </c>
      <c r="AB201" s="160" t="s">
        <v>11</v>
      </c>
      <c r="AC201" s="160" t="s">
        <v>860</v>
      </c>
    </row>
    <row r="202">
      <c r="A202" s="182" t="s">
        <v>428</v>
      </c>
      <c r="B202" s="196" t="s">
        <v>27</v>
      </c>
      <c r="C202" s="152" t="str">
        <f>HYPERLINK("https://azurlane.koumakan.jp/Shirakami_Fubuki","Shirakami Fubuki")</f>
        <v>Shirakami Fubuki</v>
      </c>
      <c r="D202" s="191" t="s">
        <v>32</v>
      </c>
      <c r="E202" s="191">
        <v>1875.0</v>
      </c>
      <c r="F202" s="191">
        <v>77.0</v>
      </c>
      <c r="G202" s="191">
        <v>489.0</v>
      </c>
      <c r="H202" s="191">
        <v>204.0</v>
      </c>
      <c r="I202" s="191">
        <v>181.0</v>
      </c>
      <c r="J202" s="191">
        <v>219.0</v>
      </c>
      <c r="K202" s="191">
        <v>246.0</v>
      </c>
      <c r="L202" s="191" t="s">
        <v>29</v>
      </c>
      <c r="M202" s="191">
        <v>40.0</v>
      </c>
      <c r="N202" s="191">
        <v>216.0</v>
      </c>
      <c r="O202" s="191">
        <v>69.0</v>
      </c>
      <c r="P202" s="191">
        <v>203.0</v>
      </c>
      <c r="Q202" s="191">
        <v>10.0</v>
      </c>
      <c r="R202" s="191">
        <v>0.0</v>
      </c>
      <c r="S202" s="191">
        <v>0.0</v>
      </c>
      <c r="T202" s="170" t="s">
        <v>429</v>
      </c>
      <c r="U202" s="193" t="s">
        <v>861</v>
      </c>
      <c r="V202" s="172" t="s">
        <v>862</v>
      </c>
      <c r="W202" s="195" t="s">
        <v>551</v>
      </c>
      <c r="X202" s="195" t="s">
        <v>551</v>
      </c>
      <c r="Y202" s="195" t="s">
        <v>567</v>
      </c>
      <c r="Z202" s="195" t="s">
        <v>27</v>
      </c>
      <c r="AA202" s="195" t="s">
        <v>557</v>
      </c>
      <c r="AB202" s="195" t="s">
        <v>863</v>
      </c>
      <c r="AC202" s="195" t="s">
        <v>864</v>
      </c>
    </row>
    <row r="203">
      <c r="A203" s="182" t="s">
        <v>434</v>
      </c>
      <c r="B203" s="196" t="s">
        <v>27</v>
      </c>
      <c r="C203" s="152" t="str">
        <f>HYPERLINK("https://azurlane.koumakan.jp/Natsuiro_Matsuri","Natsuiro Matsuri")</f>
        <v>Natsuiro Matsuri</v>
      </c>
      <c r="D203" s="191" t="s">
        <v>28</v>
      </c>
      <c r="E203" s="191">
        <v>1805.0</v>
      </c>
      <c r="F203" s="191">
        <v>70.0</v>
      </c>
      <c r="G203" s="191">
        <v>473.0</v>
      </c>
      <c r="H203" s="191">
        <v>0.0</v>
      </c>
      <c r="I203" s="191">
        <v>169.0</v>
      </c>
      <c r="J203" s="191">
        <v>209.0</v>
      </c>
      <c r="K203" s="191">
        <v>245.0</v>
      </c>
      <c r="L203" s="191" t="s">
        <v>29</v>
      </c>
      <c r="M203" s="191">
        <v>40.0</v>
      </c>
      <c r="N203" s="191">
        <v>212.0</v>
      </c>
      <c r="O203" s="191">
        <v>87.0</v>
      </c>
      <c r="P203" s="191">
        <v>209.0</v>
      </c>
      <c r="Q203" s="191">
        <v>9.0</v>
      </c>
      <c r="R203" s="191">
        <v>0.0</v>
      </c>
      <c r="S203" s="191">
        <v>0.0</v>
      </c>
      <c r="T203" s="170" t="s">
        <v>429</v>
      </c>
      <c r="U203" s="193" t="s">
        <v>865</v>
      </c>
      <c r="V203" s="202" t="s">
        <v>866</v>
      </c>
      <c r="W203" s="195" t="s">
        <v>551</v>
      </c>
      <c r="X203" s="195" t="s">
        <v>551</v>
      </c>
      <c r="Y203" s="195" t="s">
        <v>567</v>
      </c>
      <c r="Z203" s="160" t="s">
        <v>27</v>
      </c>
      <c r="AA203" s="160" t="s">
        <v>557</v>
      </c>
      <c r="AB203" s="160" t="s">
        <v>11</v>
      </c>
      <c r="AC203" s="195" t="s">
        <v>867</v>
      </c>
    </row>
    <row r="204">
      <c r="A204" s="150" t="s">
        <v>439</v>
      </c>
      <c r="B204" s="200" t="s">
        <v>27</v>
      </c>
      <c r="C204" s="152" t="s">
        <v>440</v>
      </c>
      <c r="D204" s="195" t="s">
        <v>32</v>
      </c>
      <c r="E204" s="175">
        <v>2091.0</v>
      </c>
      <c r="F204" s="175">
        <v>92.0</v>
      </c>
      <c r="G204" s="175">
        <v>514.0</v>
      </c>
      <c r="H204" s="175">
        <v>0.0</v>
      </c>
      <c r="I204" s="175">
        <v>181.0</v>
      </c>
      <c r="J204" s="175">
        <v>225.0</v>
      </c>
      <c r="K204" s="175">
        <v>248.0</v>
      </c>
      <c r="L204" s="175" t="s">
        <v>29</v>
      </c>
      <c r="M204" s="175">
        <v>42.0</v>
      </c>
      <c r="N204" s="175">
        <v>218.0</v>
      </c>
      <c r="O204" s="175">
        <v>78.0</v>
      </c>
      <c r="P204" s="175">
        <v>212.0</v>
      </c>
      <c r="Q204" s="175">
        <v>10.0</v>
      </c>
      <c r="R204" s="175">
        <v>0.0</v>
      </c>
      <c r="S204" s="175">
        <v>0.0</v>
      </c>
      <c r="T204" s="170" t="s">
        <v>441</v>
      </c>
      <c r="U204" s="193" t="s">
        <v>868</v>
      </c>
      <c r="V204" s="194" t="s">
        <v>869</v>
      </c>
      <c r="W204" s="195" t="s">
        <v>551</v>
      </c>
      <c r="X204" s="195" t="s">
        <v>551</v>
      </c>
      <c r="Y204" s="195" t="s">
        <v>567</v>
      </c>
      <c r="Z204" s="195" t="s">
        <v>27</v>
      </c>
      <c r="AA204" s="195" t="s">
        <v>557</v>
      </c>
      <c r="AB204" s="195" t="s">
        <v>11</v>
      </c>
      <c r="AC204" s="195" t="s">
        <v>870</v>
      </c>
    </row>
    <row r="205">
      <c r="A205" s="156" t="s">
        <v>482</v>
      </c>
      <c r="B205" s="159" t="s">
        <v>27</v>
      </c>
      <c r="C205" s="157" t="str">
        <f>HYPERLINK("https://azurlane.koumakan.jp/Kitakaze","Kitakaze")</f>
        <v>Kitakaze</v>
      </c>
      <c r="D205" s="185" t="s">
        <v>473</v>
      </c>
      <c r="E205" s="144">
        <v>2702.0</v>
      </c>
      <c r="F205" s="144">
        <v>88.0</v>
      </c>
      <c r="G205" s="144">
        <v>401.0</v>
      </c>
      <c r="H205" s="144">
        <v>0.0</v>
      </c>
      <c r="I205" s="144">
        <v>201.0</v>
      </c>
      <c r="J205" s="144">
        <v>226.0</v>
      </c>
      <c r="K205" s="144">
        <v>246.0</v>
      </c>
      <c r="L205" s="144" t="s">
        <v>29</v>
      </c>
      <c r="M205" s="144">
        <v>44.0</v>
      </c>
      <c r="N205" s="144">
        <v>225.0</v>
      </c>
      <c r="O205" s="165">
        <v>15.0</v>
      </c>
      <c r="P205" s="144">
        <v>202.0</v>
      </c>
      <c r="Q205" s="144">
        <v>11.0</v>
      </c>
      <c r="R205" s="144">
        <v>0.0</v>
      </c>
      <c r="S205" s="144">
        <v>0.0</v>
      </c>
      <c r="T205" s="147" t="s">
        <v>143</v>
      </c>
      <c r="U205" s="206" t="s">
        <v>871</v>
      </c>
      <c r="V205" s="188" t="s">
        <v>872</v>
      </c>
      <c r="W205" s="209" t="s">
        <v>873</v>
      </c>
      <c r="X205" s="160" t="s">
        <v>874</v>
      </c>
      <c r="Y205" s="160" t="s">
        <v>561</v>
      </c>
      <c r="Z205" s="160" t="s">
        <v>27</v>
      </c>
      <c r="AA205" s="160" t="s">
        <v>557</v>
      </c>
      <c r="AB205" s="160" t="s">
        <v>11</v>
      </c>
      <c r="AC205" s="160" t="s">
        <v>792</v>
      </c>
    </row>
    <row r="206">
      <c r="A206" s="210"/>
      <c r="B206" s="211"/>
      <c r="C206" s="212"/>
      <c r="D206" s="213"/>
      <c r="E206" s="214"/>
      <c r="F206" s="214"/>
      <c r="G206" s="214"/>
      <c r="H206" s="214"/>
      <c r="I206" s="214"/>
      <c r="J206" s="214"/>
      <c r="K206" s="214"/>
      <c r="L206" s="214"/>
      <c r="M206" s="214"/>
      <c r="N206" s="214"/>
      <c r="O206" s="214"/>
      <c r="P206" s="214"/>
      <c r="Q206" s="214"/>
      <c r="R206" s="214"/>
      <c r="S206" s="214"/>
      <c r="T206" s="147"/>
      <c r="U206" s="214"/>
      <c r="V206" s="214"/>
      <c r="W206" s="214"/>
      <c r="X206" s="214"/>
      <c r="Y206" s="214"/>
      <c r="Z206" s="214"/>
      <c r="AA206" s="214"/>
      <c r="AB206" s="214"/>
      <c r="AC206" s="214"/>
    </row>
    <row r="207">
      <c r="A207" s="210"/>
      <c r="B207" s="211"/>
      <c r="C207" s="212"/>
      <c r="D207" s="213"/>
      <c r="E207" s="214"/>
      <c r="F207" s="214"/>
      <c r="G207" s="214"/>
      <c r="H207" s="214"/>
      <c r="I207" s="214"/>
      <c r="J207" s="214"/>
      <c r="K207" s="214"/>
      <c r="L207" s="214"/>
      <c r="M207" s="214"/>
      <c r="N207" s="214"/>
      <c r="O207" s="214"/>
      <c r="P207" s="214"/>
      <c r="Q207" s="214"/>
      <c r="R207" s="214"/>
      <c r="S207" s="214"/>
      <c r="T207" s="147"/>
      <c r="U207" s="214"/>
      <c r="V207" s="214"/>
      <c r="W207" s="214"/>
      <c r="X207" s="214"/>
      <c r="Y207" s="214"/>
      <c r="Z207" s="214"/>
      <c r="AA207" s="214"/>
      <c r="AB207" s="214"/>
      <c r="AC207" s="214"/>
    </row>
    <row r="208">
      <c r="A208" s="210"/>
      <c r="B208" s="211"/>
      <c r="C208" s="212"/>
      <c r="D208" s="213"/>
      <c r="E208" s="214"/>
      <c r="F208" s="214"/>
      <c r="G208" s="214"/>
      <c r="H208" s="214"/>
      <c r="I208" s="214"/>
      <c r="J208" s="214"/>
      <c r="K208" s="214"/>
      <c r="L208" s="214"/>
      <c r="M208" s="214"/>
      <c r="N208" s="214"/>
      <c r="O208" s="214"/>
      <c r="P208" s="214"/>
      <c r="Q208" s="214"/>
      <c r="R208" s="214"/>
      <c r="S208" s="214"/>
      <c r="T208" s="147"/>
      <c r="U208" s="214"/>
      <c r="V208" s="214"/>
      <c r="W208" s="214"/>
      <c r="X208" s="214"/>
      <c r="Y208" s="214"/>
      <c r="Z208" s="214"/>
      <c r="AA208" s="214"/>
      <c r="AB208" s="214"/>
      <c r="AC208" s="214"/>
    </row>
    <row r="209">
      <c r="A209" s="210"/>
      <c r="B209" s="211"/>
      <c r="C209" s="212"/>
      <c r="D209" s="213"/>
      <c r="E209" s="214"/>
      <c r="F209" s="214"/>
      <c r="G209" s="214"/>
      <c r="H209" s="214"/>
      <c r="I209" s="214"/>
      <c r="J209" s="214"/>
      <c r="K209" s="214"/>
      <c r="L209" s="214"/>
      <c r="M209" s="214"/>
      <c r="N209" s="214"/>
      <c r="O209" s="214"/>
      <c r="P209" s="214"/>
      <c r="Q209" s="214"/>
      <c r="R209" s="214"/>
      <c r="S209" s="214"/>
      <c r="T209" s="147"/>
      <c r="U209" s="214"/>
      <c r="V209" s="214"/>
      <c r="W209" s="214"/>
      <c r="X209" s="214"/>
      <c r="Y209" s="214"/>
      <c r="Z209" s="214"/>
      <c r="AA209" s="214"/>
      <c r="AB209" s="214"/>
      <c r="AC209" s="214"/>
    </row>
    <row r="210">
      <c r="A210" s="210"/>
      <c r="B210" s="211"/>
      <c r="C210" s="212"/>
      <c r="D210" s="213"/>
      <c r="E210" s="214"/>
      <c r="F210" s="214"/>
      <c r="G210" s="214"/>
      <c r="H210" s="214"/>
      <c r="I210" s="214"/>
      <c r="J210" s="214"/>
      <c r="K210" s="214"/>
      <c r="L210" s="214"/>
      <c r="M210" s="214"/>
      <c r="N210" s="214"/>
      <c r="O210" s="214"/>
      <c r="P210" s="214"/>
      <c r="Q210" s="214"/>
      <c r="R210" s="214"/>
      <c r="S210" s="214"/>
      <c r="T210" s="147"/>
      <c r="U210" s="214"/>
      <c r="V210" s="214"/>
      <c r="W210" s="214"/>
      <c r="X210" s="214"/>
      <c r="Y210" s="214"/>
      <c r="Z210" s="214"/>
      <c r="AA210" s="214"/>
      <c r="AB210" s="214"/>
      <c r="AC210" s="214"/>
    </row>
  </sheetData>
  <customSheetViews>
    <customSheetView guid="{B9BC391F-1590-4DB6-9DDE-54372D10C689}" filter="1" showAutoFilter="1">
      <autoFilter ref="$T$1:$T$210">
        <filterColumn colId="0">
          <filters>
            <filter val="Iron Blood"/>
            <filter val="Dragon Empery"/>
            <filter val="Venus"/>
          </filters>
        </filterColumn>
      </autoFilter>
    </customSheetView>
    <customSheetView guid="{4945B9E4-D3E1-4F8E-8920-799EF15902A1}" filter="1" showAutoFilter="1">
      <autoFilter ref="$T$1:$T$210">
        <filterColumn colId="0">
          <filters>
            <filter val="Iron Blood"/>
            <filter val="Northern Parliament"/>
            <filter val="Dragon Empery"/>
            <filter val="Hololive"/>
            <filter val="Venus"/>
            <filter val="Sakura Empire"/>
            <filter val="Sardegna Empire"/>
          </filters>
        </filterColumn>
      </autoFilter>
    </customSheetView>
    <customSheetView guid="{9791F8D7-414D-4532-A372-9B598FF77A50}" filter="1" showAutoFilter="1">
      <autoFilter ref="$A$1:$AC$210">
        <filterColumn colId="19">
          <filters blank="1">
            <filter val="Iron Blood"/>
            <filter val="Northern Parliament"/>
            <filter val="Dragon Empery"/>
            <filter val="Hololive"/>
            <filter val="Venus"/>
            <filter val="Sardegna Empire"/>
            <filter val="Vichya Dominion"/>
            <filter val="Kizuna Ai"/>
          </filters>
        </filterColumn>
      </autoFilter>
    </customSheetView>
    <customSheetView guid="{C226F6DF-FF31-45B1-8E77-B4FADBED153C}" filter="1" showAutoFilter="1">
      <autoFilter ref="$A$1:$AC$210">
        <filterColumn colId="19">
          <filters blank="1">
            <filter val="Eagle Union"/>
            <filter val="Iron Blood"/>
            <filter val="Northern Parliament"/>
            <filter val="Dragon Empery"/>
            <filter val="Hololive"/>
            <filter val="Venus"/>
            <filter val="Sardegna Empire"/>
            <filter val="Kizuna Ai"/>
          </filters>
        </filterColumn>
      </autoFilter>
    </customSheetView>
    <customSheetView guid="{7870A44B-63D4-4C19-B8CD-C7365A878731}" filter="1" showAutoFilter="1">
      <autoFilter ref="$A$1:$AC$210">
        <filterColumn colId="19">
          <filters blank="1">
            <filter val="Iris Libre"/>
            <filter val="Iron Blood"/>
            <filter val="Northern Parliament"/>
            <filter val="Dragon Empery"/>
            <filter val="Hololive"/>
            <filter val="Venus"/>
            <filter val="Sardegna Empire"/>
            <filter val="Kizuna Ai"/>
          </filters>
        </filterColumn>
      </autoFilter>
    </customSheetView>
    <customSheetView guid="{9DC526C2-9056-41E1-BFB1-A0E348919450}" filter="1" showAutoFilter="1">
      <autoFilter ref="$A$1:$AC$210">
        <filterColumn colId="19">
          <filters blank="1">
            <filter val="Iron Blood"/>
            <filter val="Northern Parliament"/>
            <filter val="Dragon Empery"/>
            <filter val="Hololive"/>
            <filter val="Venus"/>
            <filter val="Sardegna Empire"/>
            <filter val="Royal Navy"/>
          </filters>
        </filterColumn>
      </autoFilter>
    </customSheetView>
    <customSheetView guid="{5A569FE0-46F2-4581-97CD-9BA081C3EF37}" filter="1" showAutoFilter="1">
      <autoFilter ref="$A$1:$Z$210">
        <filterColumn colId="19">
          <filters>
            <filter val="Iron Blood"/>
            <filter val="Northern Parliament"/>
            <filter val="Dragon Empery"/>
            <filter val="Hololive"/>
            <filter val="Venus"/>
            <filter val="Sardegna Empire"/>
            <filter val="Kizuna Ai"/>
          </filters>
        </filterColumn>
      </autoFilter>
    </customSheetView>
  </customSheetViews>
  <conditionalFormatting sqref="T1:T210">
    <cfRule type="cellIs" dxfId="27" priority="1" operator="equal">
      <formula>"Venus"</formula>
    </cfRule>
  </conditionalFormatting>
  <conditionalFormatting sqref="T1:T210">
    <cfRule type="cellIs" dxfId="24" priority="2" operator="equal">
      <formula>"Hololive"</formula>
    </cfRule>
  </conditionalFormatting>
  <conditionalFormatting sqref="T1:T210">
    <cfRule type="cellIs" dxfId="12" priority="3" operator="equal">
      <formula>"Sardegna Empire"</formula>
    </cfRule>
  </conditionalFormatting>
  <conditionalFormatting sqref="D2:D210">
    <cfRule type="cellIs" dxfId="4" priority="4" operator="equal">
      <formula>"Priority"</formula>
    </cfRule>
  </conditionalFormatting>
  <conditionalFormatting sqref="D2:D210">
    <cfRule type="cellIs" dxfId="5" priority="5" operator="equal">
      <formula>"Decisive"</formula>
    </cfRule>
  </conditionalFormatting>
  <conditionalFormatting sqref="T1:T210">
    <cfRule type="cellIs" dxfId="22" priority="6" operator="equal">
      <formula>"Kizuna Ai"</formula>
    </cfRule>
  </conditionalFormatting>
  <conditionalFormatting sqref="D2:D210">
    <cfRule type="cellIs" dxfId="1" priority="7" operator="equal">
      <formula>"Common"</formula>
    </cfRule>
  </conditionalFormatting>
  <conditionalFormatting sqref="D2:D210">
    <cfRule type="cellIs" dxfId="2" priority="8" operator="equal">
      <formula>"Rare"</formula>
    </cfRule>
  </conditionalFormatting>
  <conditionalFormatting sqref="D2:D210">
    <cfRule type="cellIs" dxfId="3" priority="9" operator="equal">
      <formula>"Elite"</formula>
    </cfRule>
  </conditionalFormatting>
  <conditionalFormatting sqref="D2:D210">
    <cfRule type="cellIs" dxfId="4" priority="10" operator="equal">
      <formula>"Super Rare"</formula>
    </cfRule>
  </conditionalFormatting>
  <conditionalFormatting sqref="D2:D210">
    <cfRule type="cellIs" dxfId="5" priority="11" operator="equal">
      <formula>"Ultra Rare"</formula>
    </cfRule>
  </conditionalFormatting>
  <conditionalFormatting sqref="B1:B210">
    <cfRule type="cellIs" dxfId="6" priority="12" operator="equal">
      <formula>"DD"</formula>
    </cfRule>
  </conditionalFormatting>
  <conditionalFormatting sqref="T1:T210">
    <cfRule type="cellIs" dxfId="15" priority="13" operator="equal">
      <formula>"Northern Parliament"</formula>
    </cfRule>
  </conditionalFormatting>
  <conditionalFormatting sqref="T1:T210">
    <cfRule type="cellIs" dxfId="2" priority="14" operator="equal">
      <formula>"Eagle Union"</formula>
    </cfRule>
  </conditionalFormatting>
  <conditionalFormatting sqref="T1:T210">
    <cfRule type="cellIs" dxfId="16" priority="15" operator="equal">
      <formula>"Royal Navy"</formula>
    </cfRule>
  </conditionalFormatting>
  <conditionalFormatting sqref="T1:T210">
    <cfRule type="cellIs" dxfId="17" priority="16" operator="equal">
      <formula>"Sakura Empire"</formula>
    </cfRule>
  </conditionalFormatting>
  <conditionalFormatting sqref="T1:T210">
    <cfRule type="cellIs" dxfId="5" priority="17" operator="equal">
      <formula>"Iron Blood"</formula>
    </cfRule>
  </conditionalFormatting>
  <conditionalFormatting sqref="T1:T210">
    <cfRule type="cellIs" dxfId="18" priority="18" operator="equal">
      <formula>"Dragon Empery"</formula>
    </cfRule>
  </conditionalFormatting>
  <conditionalFormatting sqref="T1:T210">
    <cfRule type="cellIs" dxfId="4" priority="19" operator="equal">
      <formula>"Iris Libre"</formula>
    </cfRule>
  </conditionalFormatting>
  <conditionalFormatting sqref="T1:T210">
    <cfRule type="cellIs" dxfId="9" priority="20" operator="equal">
      <formula>"Vichya Dominion"</formula>
    </cfRule>
  </conditionalFormatting>
  <conditionalFormatting sqref="T1:T210">
    <cfRule type="cellIs" dxfId="3" priority="21" operator="equal">
      <formula>"Neptunia"</formula>
    </cfRule>
  </conditionalFormatting>
  <conditionalFormatting sqref="Z1:Z210 AA2:AA4 AA6:AA138 AB6:AB12 AA143 AA150 AA154:AA156 AA173">
    <cfRule type="cellIs" dxfId="12" priority="22" operator="equal">
      <formula>"Yes"</formula>
    </cfRule>
  </conditionalFormatting>
  <conditionalFormatting sqref="Z1:Z210 AA2:AA4 AA6:AA138 AB6:AB12 AA143 AA150 AA154:AA156 AA173">
    <cfRule type="cellIs" dxfId="9" priority="23" operator="equal">
      <formula>"No"</formula>
    </cfRule>
  </conditionalFormatting>
  <conditionalFormatting sqref="E2:E210">
    <cfRule type="colorScale" priority="24">
      <colorScale>
        <cfvo type="formula" val="1346"/>
        <cfvo type="percentile" val="50"/>
        <cfvo type="max"/>
        <color rgb="FFE67C73"/>
        <color rgb="FFFFD666"/>
        <color rgb="FF57BB8A"/>
      </colorScale>
    </cfRule>
  </conditionalFormatting>
  <conditionalFormatting sqref="F2:F210">
    <cfRule type="colorScale" priority="25">
      <colorScale>
        <cfvo type="formula" val="60"/>
        <cfvo type="percentile" val="50"/>
        <cfvo type="formula" val="160"/>
        <color rgb="FFE67C73"/>
        <color rgb="FFFFD666"/>
        <color rgb="FF57BB8A"/>
      </colorScale>
    </cfRule>
  </conditionalFormatting>
  <conditionalFormatting sqref="I2:I210">
    <cfRule type="colorScale" priority="26">
      <colorScale>
        <cfvo type="formula" val="128"/>
        <cfvo type="percent" val="50"/>
        <cfvo type="formula" val="255"/>
        <color rgb="FFE67C73"/>
        <color rgb="FFFFD666"/>
        <color rgb="FF57BB8A"/>
      </colorScale>
    </cfRule>
  </conditionalFormatting>
  <conditionalFormatting sqref="G2:G210">
    <cfRule type="colorScale" priority="27">
      <colorScale>
        <cfvo type="formula" val="228"/>
        <cfvo type="percentile" val="50"/>
        <cfvo type="formula" val="590"/>
        <color rgb="FFE67C73"/>
        <color rgb="FFFFD666"/>
        <color rgb="FF57BB8A"/>
      </colorScale>
    </cfRule>
  </conditionalFormatting>
  <conditionalFormatting sqref="Q2:Q210">
    <cfRule type="colorScale" priority="28">
      <colorScale>
        <cfvo type="formula" val="7"/>
        <cfvo type="percentile" val="70"/>
        <cfvo type="max"/>
        <color rgb="FF57BB8A"/>
        <color rgb="FFFFD666"/>
        <color rgb="FFE67C73"/>
      </colorScale>
    </cfRule>
  </conditionalFormatting>
  <conditionalFormatting sqref="J2:J210">
    <cfRule type="colorScale" priority="29">
      <colorScale>
        <cfvo type="formula" val="185"/>
        <cfvo type="percentile" val="50"/>
        <cfvo type="max"/>
        <color rgb="FFE67C73"/>
        <color rgb="FFFFD666"/>
        <color rgb="FF57BB8A"/>
      </colorScale>
    </cfRule>
  </conditionalFormatting>
  <conditionalFormatting sqref="M2:M210">
    <cfRule type="colorScale" priority="30">
      <colorScale>
        <cfvo type="min"/>
        <cfvo type="percentile" val="50"/>
        <cfvo type="max"/>
        <color rgb="FFE67C73"/>
        <color rgb="FFFFD666"/>
        <color rgb="FF57BB8A"/>
      </colorScale>
    </cfRule>
  </conditionalFormatting>
  <conditionalFormatting sqref="P2:P210">
    <cfRule type="colorScale" priority="31">
      <colorScale>
        <cfvo type="formula" val="105"/>
        <cfvo type="percentile" val="50"/>
        <cfvo type="max"/>
        <color rgb="FFE67C73"/>
        <color rgb="FFFFD666"/>
        <color rgb="FF57BB8A"/>
      </colorScale>
    </cfRule>
  </conditionalFormatting>
  <conditionalFormatting sqref="K2:K210">
    <cfRule type="colorScale" priority="32">
      <colorScale>
        <cfvo type="formula" val="148"/>
        <cfvo type="percentile" val="50"/>
        <cfvo type="max"/>
        <color rgb="FFE67C73"/>
        <color rgb="FFFFD666"/>
        <color rgb="FF57BB8A"/>
      </colorScale>
    </cfRule>
  </conditionalFormatting>
  <conditionalFormatting sqref="X1:X210">
    <cfRule type="containsBlanks" dxfId="31" priority="33">
      <formula>LEN(TRIM(X1))=0</formula>
    </cfRule>
  </conditionalFormatting>
  <conditionalFormatting sqref="X2:X210">
    <cfRule type="notContainsText" dxfId="5" priority="34" operator="notContains" text="--">
      <formula>ISERROR(SEARCH(("--"),(X2)))</formula>
    </cfRule>
  </conditionalFormatting>
  <conditionalFormatting sqref="N2:N210">
    <cfRule type="colorScale" priority="35">
      <colorScale>
        <cfvo type="formula" val="187"/>
        <cfvo type="percentile" val="50"/>
        <cfvo type="max"/>
        <color rgb="FFE67C73"/>
        <color rgb="FFFFD666"/>
        <color rgb="FF57BB8A"/>
      </colorScale>
    </cfRule>
  </conditionalFormatting>
  <conditionalFormatting sqref="O2:O210">
    <cfRule type="colorScale" priority="36">
      <colorScale>
        <cfvo type="min"/>
        <cfvo type="percentile" val="50"/>
        <cfvo type="formula" val="98"/>
        <color rgb="FFE67C73"/>
        <color rgb="FFFFD666"/>
        <color rgb="FF57BB8A"/>
      </colorScale>
    </cfRule>
  </conditionalFormatting>
  <conditionalFormatting sqref="T1:T210">
    <cfRule type="cellIs" dxfId="23" priority="37" operator="equal">
      <formula>"Universal"</formula>
    </cfRule>
  </conditionalFormatting>
  <conditionalFormatting sqref="Y1:Y210">
    <cfRule type="cellIs" dxfId="20" priority="38" operator="equal">
      <formula>"Utility Bonus"</formula>
    </cfRule>
  </conditionalFormatting>
  <conditionalFormatting sqref="Y1:Y210">
    <cfRule type="cellIs" dxfId="5" priority="39" operator="equal">
      <formula>"Gun Bonus"</formula>
    </cfRule>
  </conditionalFormatting>
  <conditionalFormatting sqref="Y1:Y210">
    <cfRule type="cellIs" dxfId="29" priority="40" operator="equal">
      <formula>"Torpedo Bonus"</formula>
    </cfRule>
  </conditionalFormatting>
  <hyperlinks>
    <hyperlink r:id="rId2" ref="C4"/>
    <hyperlink r:id="rId3" ref="C55"/>
    <hyperlink r:id="rId4" location="Retrofit" ref="C64"/>
    <hyperlink r:id="rId5" location="Retrofit" ref="C77"/>
    <hyperlink r:id="rId6" location="Retrofit" ref="C79"/>
    <hyperlink r:id="rId7" ref="C99"/>
    <hyperlink r:id="rId8" ref="C113"/>
    <hyperlink r:id="rId9" ref="C114"/>
    <hyperlink r:id="rId10" location="Retrofit" ref="C165"/>
    <hyperlink r:id="rId11" ref="C175"/>
    <hyperlink r:id="rId12" ref="C176"/>
    <hyperlink r:id="rId13" ref="C177"/>
    <hyperlink r:id="rId14" ref="C178"/>
    <hyperlink r:id="rId15" ref="C179"/>
    <hyperlink r:id="rId16" ref="C180"/>
    <hyperlink r:id="rId17" ref="C181"/>
    <hyperlink r:id="rId18" ref="C182"/>
    <hyperlink r:id="rId19" ref="C183"/>
    <hyperlink r:id="rId20" ref="C184"/>
    <hyperlink r:id="rId21" ref="C185"/>
    <hyperlink r:id="rId22" ref="C186"/>
    <hyperlink r:id="rId23" ref="C187"/>
    <hyperlink r:id="rId24" ref="C188"/>
    <hyperlink r:id="rId25" ref="C189"/>
    <hyperlink r:id="rId26" ref="C190"/>
    <hyperlink r:id="rId27" ref="C191"/>
    <hyperlink r:id="rId28" ref="C192"/>
    <hyperlink r:id="rId29" ref="C193"/>
    <hyperlink r:id="rId30" ref="C194"/>
    <hyperlink r:id="rId31" ref="C195"/>
    <hyperlink r:id="rId32" ref="C196"/>
    <hyperlink r:id="rId33" ref="C197"/>
    <hyperlink r:id="rId34" ref="C198"/>
    <hyperlink r:id="rId35" ref="C204"/>
  </hyperlinks>
  <drawing r:id="rId36"/>
  <legacyDrawing r:id="rId37"/>
  <tableParts count="1">
    <tablePart r:id="rId39"/>
  </tableParts>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9CB9C"/>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29"/>
    <col customWidth="1" min="2" max="2" width="5.14"/>
    <col customWidth="1" min="3" max="3" width="17.29"/>
    <col customWidth="1" min="4" max="4" width="10.57"/>
    <col customWidth="1" min="5" max="7" width="5.86"/>
    <col customWidth="1" hidden="1" min="8" max="8" width="5.86"/>
    <col customWidth="1" min="9" max="11" width="5.86"/>
    <col customWidth="1" min="12" max="12" width="7.29"/>
    <col customWidth="1" min="13" max="17" width="5.86"/>
    <col customWidth="1" hidden="1" min="18" max="19" width="5.86"/>
    <col customWidth="1" min="20" max="20" width="17.71"/>
    <col customWidth="1" min="21" max="22" width="25.14"/>
    <col customWidth="1" min="23" max="23" width="20.43"/>
    <col customWidth="1" min="24" max="24" width="20.57"/>
    <col customWidth="1" min="25" max="27" width="8.0"/>
    <col customWidth="1" min="28" max="32" width="11.43"/>
  </cols>
  <sheetData>
    <row r="1">
      <c r="A1" s="215" t="s">
        <v>3</v>
      </c>
      <c r="B1" s="136" t="s">
        <v>4</v>
      </c>
      <c r="C1" s="136" t="s">
        <v>5</v>
      </c>
      <c r="D1" s="136" t="s">
        <v>6</v>
      </c>
      <c r="E1" s="137" t="s">
        <v>7</v>
      </c>
      <c r="F1" s="137" t="s">
        <v>8</v>
      </c>
      <c r="G1" s="137" t="s">
        <v>9</v>
      </c>
      <c r="H1" s="137" t="s">
        <v>10</v>
      </c>
      <c r="I1" s="137" t="s">
        <v>11</v>
      </c>
      <c r="J1" s="137" t="s">
        <v>12</v>
      </c>
      <c r="K1" s="137" t="s">
        <v>13</v>
      </c>
      <c r="L1" s="137" t="s">
        <v>14</v>
      </c>
      <c r="M1" s="137" t="s">
        <v>15</v>
      </c>
      <c r="N1" s="138" t="s">
        <v>16</v>
      </c>
      <c r="O1" s="138" t="s">
        <v>17</v>
      </c>
      <c r="P1" s="137" t="s">
        <v>18</v>
      </c>
      <c r="Q1" s="137" t="s">
        <v>19</v>
      </c>
      <c r="R1" s="137" t="s">
        <v>20</v>
      </c>
      <c r="S1" s="137" t="s">
        <v>21</v>
      </c>
      <c r="T1" s="139" t="s">
        <v>22</v>
      </c>
      <c r="U1" s="140" t="s">
        <v>541</v>
      </c>
      <c r="V1" s="140" t="s">
        <v>542</v>
      </c>
      <c r="W1" s="140" t="s">
        <v>543</v>
      </c>
      <c r="X1" s="140" t="s">
        <v>544</v>
      </c>
      <c r="Y1" s="139" t="s">
        <v>546</v>
      </c>
      <c r="Z1" s="139" t="s">
        <v>547</v>
      </c>
      <c r="AA1" s="139" t="s">
        <v>548</v>
      </c>
      <c r="AB1" s="139" t="s">
        <v>549</v>
      </c>
      <c r="AC1" s="139" t="s">
        <v>875</v>
      </c>
      <c r="AD1" s="139" t="s">
        <v>876</v>
      </c>
      <c r="AE1" s="139" t="s">
        <v>877</v>
      </c>
      <c r="AF1" s="139" t="s">
        <v>878</v>
      </c>
    </row>
    <row r="2" ht="15.75" customHeight="1">
      <c r="A2" s="141">
        <v>29.0</v>
      </c>
      <c r="B2" s="142" t="s">
        <v>52</v>
      </c>
      <c r="C2" s="143" t="str">
        <f>HYPERLINK("https://azurlane.koumakan.jp/Omaha","Omaha")</f>
        <v>Omaha</v>
      </c>
      <c r="D2" s="142" t="s">
        <v>40</v>
      </c>
      <c r="E2" s="165">
        <v>3312.0</v>
      </c>
      <c r="F2" s="145">
        <v>144.0</v>
      </c>
      <c r="G2" s="145">
        <v>210.0</v>
      </c>
      <c r="H2" s="145">
        <v>0.0</v>
      </c>
      <c r="I2" s="145">
        <v>287.0</v>
      </c>
      <c r="J2" s="145">
        <v>185.0</v>
      </c>
      <c r="K2" s="145">
        <v>127.0</v>
      </c>
      <c r="L2" s="145" t="s">
        <v>29</v>
      </c>
      <c r="M2" s="145">
        <v>35.0</v>
      </c>
      <c r="N2" s="145">
        <v>156.0</v>
      </c>
      <c r="O2" s="166">
        <v>67.0</v>
      </c>
      <c r="P2" s="145">
        <v>82.0</v>
      </c>
      <c r="Q2" s="145">
        <v>8.0</v>
      </c>
      <c r="R2" s="145">
        <v>0.0</v>
      </c>
      <c r="S2" s="145">
        <v>0.0</v>
      </c>
      <c r="T2" s="147" t="s">
        <v>37</v>
      </c>
      <c r="U2" s="164" t="s">
        <v>562</v>
      </c>
      <c r="V2" s="149" t="s">
        <v>551</v>
      </c>
      <c r="W2" s="149" t="s">
        <v>551</v>
      </c>
      <c r="X2" s="149" t="s">
        <v>879</v>
      </c>
      <c r="Y2" s="147" t="s">
        <v>52</v>
      </c>
      <c r="Z2" s="147" t="s">
        <v>557</v>
      </c>
      <c r="AA2" s="147" t="s">
        <v>11</v>
      </c>
      <c r="AB2" s="147" t="s">
        <v>880</v>
      </c>
      <c r="AC2" s="216">
        <v>1.0</v>
      </c>
      <c r="AD2" s="216">
        <v>2.0</v>
      </c>
      <c r="AE2" s="216">
        <v>1.0</v>
      </c>
      <c r="AF2" s="216">
        <v>1.0</v>
      </c>
    </row>
    <row r="3" ht="15.75" customHeight="1">
      <c r="A3" s="141">
        <v>30.0</v>
      </c>
      <c r="B3" s="142" t="s">
        <v>52</v>
      </c>
      <c r="C3" s="143" t="str">
        <f>HYPERLINK("https://azurlane.koumakan.jp/Raleigh","Raleigh")</f>
        <v>Raleigh</v>
      </c>
      <c r="D3" s="142" t="s">
        <v>40</v>
      </c>
      <c r="E3" s="145">
        <v>3312.0</v>
      </c>
      <c r="F3" s="145">
        <v>144.0</v>
      </c>
      <c r="G3" s="145">
        <v>210.0</v>
      </c>
      <c r="H3" s="145">
        <v>0.0</v>
      </c>
      <c r="I3" s="145">
        <v>287.0</v>
      </c>
      <c r="J3" s="145">
        <v>185.0</v>
      </c>
      <c r="K3" s="145">
        <v>127.0</v>
      </c>
      <c r="L3" s="145" t="s">
        <v>29</v>
      </c>
      <c r="M3" s="145">
        <v>35.0</v>
      </c>
      <c r="N3" s="145">
        <v>156.0</v>
      </c>
      <c r="O3" s="145">
        <v>82.0</v>
      </c>
      <c r="P3" s="145">
        <v>82.0</v>
      </c>
      <c r="Q3" s="145">
        <v>8.0</v>
      </c>
      <c r="R3" s="145">
        <v>0.0</v>
      </c>
      <c r="S3" s="145">
        <v>0.0</v>
      </c>
      <c r="T3" s="147" t="s">
        <v>37</v>
      </c>
      <c r="U3" s="164" t="s">
        <v>562</v>
      </c>
      <c r="V3" s="149" t="s">
        <v>551</v>
      </c>
      <c r="W3" s="149" t="s">
        <v>551</v>
      </c>
      <c r="X3" s="149" t="s">
        <v>879</v>
      </c>
      <c r="Y3" s="147" t="s">
        <v>52</v>
      </c>
      <c r="Z3" s="147" t="s">
        <v>557</v>
      </c>
      <c r="AA3" s="147" t="s">
        <v>11</v>
      </c>
      <c r="AB3" s="147" t="s">
        <v>880</v>
      </c>
      <c r="AC3" s="217">
        <v>1.0</v>
      </c>
      <c r="AD3" s="217">
        <v>2.0</v>
      </c>
      <c r="AE3" s="217">
        <v>1.0</v>
      </c>
      <c r="AF3" s="217">
        <v>1.0</v>
      </c>
    </row>
    <row r="4" ht="15.75" customHeight="1">
      <c r="A4" s="141">
        <v>31.0</v>
      </c>
      <c r="B4" s="142" t="s">
        <v>52</v>
      </c>
      <c r="C4" s="143" t="str">
        <f>HYPERLINK("https://azurlane.koumakan.jp/Brooklyn","Brooklyn")</f>
        <v>Brooklyn</v>
      </c>
      <c r="D4" s="149" t="s">
        <v>36</v>
      </c>
      <c r="E4" s="145">
        <v>3550.0</v>
      </c>
      <c r="F4" s="145">
        <v>166.0</v>
      </c>
      <c r="G4" s="145">
        <v>0.0</v>
      </c>
      <c r="H4" s="145">
        <v>0.0</v>
      </c>
      <c r="I4" s="145">
        <v>313.0</v>
      </c>
      <c r="J4" s="145">
        <v>183.0</v>
      </c>
      <c r="K4" s="145">
        <v>106.0</v>
      </c>
      <c r="L4" s="145" t="s">
        <v>29</v>
      </c>
      <c r="M4" s="145">
        <v>32.0</v>
      </c>
      <c r="N4" s="145">
        <v>162.0</v>
      </c>
      <c r="O4" s="145">
        <v>55.0</v>
      </c>
      <c r="P4" s="145">
        <v>100.0</v>
      </c>
      <c r="Q4" s="145">
        <v>9.0</v>
      </c>
      <c r="R4" s="145">
        <v>0.0</v>
      </c>
      <c r="S4" s="145">
        <v>0.0</v>
      </c>
      <c r="T4" s="147" t="s">
        <v>37</v>
      </c>
      <c r="U4" s="148" t="s">
        <v>881</v>
      </c>
      <c r="V4" s="149" t="s">
        <v>551</v>
      </c>
      <c r="W4" s="149" t="s">
        <v>551</v>
      </c>
      <c r="X4" s="149" t="s">
        <v>882</v>
      </c>
      <c r="Y4" s="147" t="s">
        <v>52</v>
      </c>
      <c r="Z4" s="147" t="s">
        <v>27</v>
      </c>
      <c r="AA4" s="147" t="s">
        <v>11</v>
      </c>
      <c r="AB4" s="147" t="s">
        <v>883</v>
      </c>
      <c r="AC4" s="216">
        <v>2.0</v>
      </c>
      <c r="AD4" s="216">
        <v>0.0</v>
      </c>
      <c r="AE4" s="216">
        <v>0.0</v>
      </c>
      <c r="AF4" s="216">
        <v>1.0</v>
      </c>
    </row>
    <row r="5" ht="15.75" customHeight="1">
      <c r="A5" s="141">
        <v>32.0</v>
      </c>
      <c r="B5" s="142" t="s">
        <v>52</v>
      </c>
      <c r="C5" s="143" t="str">
        <f>HYPERLINK("https://azurlane.koumakan.jp/Phoenix","Phoenix")</f>
        <v>Phoenix</v>
      </c>
      <c r="D5" s="142" t="s">
        <v>36</v>
      </c>
      <c r="E5" s="145">
        <v>3550.0</v>
      </c>
      <c r="F5" s="145">
        <v>166.0</v>
      </c>
      <c r="G5" s="145">
        <v>0.0</v>
      </c>
      <c r="H5" s="145">
        <v>0.0</v>
      </c>
      <c r="I5" s="145">
        <v>313.0</v>
      </c>
      <c r="J5" s="145">
        <v>183.0</v>
      </c>
      <c r="K5" s="145">
        <v>106.0</v>
      </c>
      <c r="L5" s="145" t="s">
        <v>29</v>
      </c>
      <c r="M5" s="145">
        <v>32.0</v>
      </c>
      <c r="N5" s="145">
        <v>162.0</v>
      </c>
      <c r="O5" s="145">
        <v>88.0</v>
      </c>
      <c r="P5" s="145">
        <v>97.0</v>
      </c>
      <c r="Q5" s="145">
        <v>9.0</v>
      </c>
      <c r="R5" s="145">
        <v>0.0</v>
      </c>
      <c r="S5" s="145">
        <v>0.0</v>
      </c>
      <c r="T5" s="147" t="s">
        <v>37</v>
      </c>
      <c r="U5" s="161" t="s">
        <v>884</v>
      </c>
      <c r="V5" s="149" t="s">
        <v>551</v>
      </c>
      <c r="W5" s="149" t="s">
        <v>551</v>
      </c>
      <c r="X5" s="149" t="s">
        <v>882</v>
      </c>
      <c r="Y5" s="147" t="s">
        <v>52</v>
      </c>
      <c r="Z5" s="147" t="s">
        <v>27</v>
      </c>
      <c r="AA5" s="147" t="s">
        <v>11</v>
      </c>
      <c r="AB5" s="147" t="s">
        <v>883</v>
      </c>
      <c r="AC5" s="217">
        <v>2.0</v>
      </c>
      <c r="AD5" s="217">
        <v>0.0</v>
      </c>
      <c r="AE5" s="217">
        <v>0.0</v>
      </c>
      <c r="AF5" s="217">
        <v>1.0</v>
      </c>
    </row>
    <row r="6" ht="15.75" customHeight="1">
      <c r="A6" s="141">
        <v>33.0</v>
      </c>
      <c r="B6" s="142" t="s">
        <v>52</v>
      </c>
      <c r="C6" s="143" t="str">
        <f>HYPERLINK("https://azurlane.koumakan.jp/Helena","Helena")</f>
        <v>Helena</v>
      </c>
      <c r="D6" s="142" t="s">
        <v>28</v>
      </c>
      <c r="E6" s="145">
        <v>3688.0</v>
      </c>
      <c r="F6" s="145">
        <v>174.0</v>
      </c>
      <c r="G6" s="145">
        <v>0.0</v>
      </c>
      <c r="H6" s="145">
        <v>0.0</v>
      </c>
      <c r="I6" s="145">
        <v>323.0</v>
      </c>
      <c r="J6" s="145">
        <v>188.0</v>
      </c>
      <c r="K6" s="145">
        <v>106.0</v>
      </c>
      <c r="L6" s="145" t="s">
        <v>29</v>
      </c>
      <c r="M6" s="145">
        <v>32.0</v>
      </c>
      <c r="N6" s="145">
        <v>180.0</v>
      </c>
      <c r="O6" s="145">
        <v>33.0</v>
      </c>
      <c r="P6" s="145">
        <v>111.0</v>
      </c>
      <c r="Q6" s="145">
        <v>10.0</v>
      </c>
      <c r="R6" s="145">
        <v>0.0</v>
      </c>
      <c r="S6" s="145">
        <v>0.0</v>
      </c>
      <c r="T6" s="147" t="s">
        <v>37</v>
      </c>
      <c r="U6" s="148" t="s">
        <v>885</v>
      </c>
      <c r="V6" s="149" t="s">
        <v>551</v>
      </c>
      <c r="W6" s="149" t="s">
        <v>551</v>
      </c>
      <c r="X6" s="149" t="s">
        <v>882</v>
      </c>
      <c r="Y6" s="147" t="s">
        <v>52</v>
      </c>
      <c r="Z6" s="147" t="s">
        <v>27</v>
      </c>
      <c r="AA6" s="147" t="s">
        <v>11</v>
      </c>
      <c r="AB6" s="147" t="s">
        <v>883</v>
      </c>
      <c r="AC6" s="216">
        <v>2.0</v>
      </c>
      <c r="AD6" s="216">
        <v>0.0</v>
      </c>
      <c r="AE6" s="216">
        <v>0.0</v>
      </c>
      <c r="AF6" s="216">
        <v>1.0</v>
      </c>
    </row>
    <row r="7" ht="15.75" customHeight="1">
      <c r="A7" s="156">
        <v>33.1</v>
      </c>
      <c r="B7" s="149" t="s">
        <v>52</v>
      </c>
      <c r="C7" s="143" t="s">
        <v>57</v>
      </c>
      <c r="D7" s="142" t="s">
        <v>32</v>
      </c>
      <c r="E7" s="145">
        <v>3928.0</v>
      </c>
      <c r="F7" s="145">
        <v>184.0</v>
      </c>
      <c r="G7" s="145">
        <v>0.0</v>
      </c>
      <c r="H7" s="145">
        <v>0.0</v>
      </c>
      <c r="I7" s="145">
        <v>413.0</v>
      </c>
      <c r="J7" s="145">
        <v>193.0</v>
      </c>
      <c r="K7" s="145">
        <v>106.0</v>
      </c>
      <c r="L7" s="145" t="s">
        <v>29</v>
      </c>
      <c r="M7" s="145">
        <v>32.0</v>
      </c>
      <c r="N7" s="168">
        <v>195.0</v>
      </c>
      <c r="O7" s="145">
        <v>33.0</v>
      </c>
      <c r="P7" s="145">
        <v>111.0</v>
      </c>
      <c r="Q7" s="145">
        <v>10.0</v>
      </c>
      <c r="R7" s="145">
        <v>0.0</v>
      </c>
      <c r="S7" s="145">
        <v>0.0</v>
      </c>
      <c r="T7" s="147" t="s">
        <v>37</v>
      </c>
      <c r="U7" s="148" t="s">
        <v>886</v>
      </c>
      <c r="V7" s="163" t="s">
        <v>551</v>
      </c>
      <c r="W7" s="148" t="s">
        <v>887</v>
      </c>
      <c r="X7" s="149" t="s">
        <v>882</v>
      </c>
      <c r="Y7" s="147" t="s">
        <v>52</v>
      </c>
      <c r="Z7" s="147" t="s">
        <v>27</v>
      </c>
      <c r="AA7" s="147" t="s">
        <v>11</v>
      </c>
      <c r="AB7" s="147" t="s">
        <v>888</v>
      </c>
      <c r="AC7" s="218">
        <v>2.0</v>
      </c>
      <c r="AD7" s="218">
        <v>0.0</v>
      </c>
      <c r="AE7" s="218">
        <v>0.0</v>
      </c>
      <c r="AF7" s="218">
        <v>1.0</v>
      </c>
    </row>
    <row r="8" ht="15.75" customHeight="1">
      <c r="A8" s="141">
        <v>34.0</v>
      </c>
      <c r="B8" s="142" t="s">
        <v>52</v>
      </c>
      <c r="C8" s="143" t="str">
        <f>HYPERLINK("https://azurlane.koumakan.jp/Atlanta","Atlanta")</f>
        <v>Atlanta</v>
      </c>
      <c r="D8" s="142" t="s">
        <v>36</v>
      </c>
      <c r="E8" s="145">
        <v>3598.0</v>
      </c>
      <c r="F8" s="145">
        <v>131.0</v>
      </c>
      <c r="G8" s="145">
        <v>159.0</v>
      </c>
      <c r="H8" s="145">
        <v>0.0</v>
      </c>
      <c r="I8" s="145">
        <v>431.0</v>
      </c>
      <c r="J8" s="145">
        <v>181.0</v>
      </c>
      <c r="K8" s="145">
        <v>112.0</v>
      </c>
      <c r="L8" s="145" t="s">
        <v>29</v>
      </c>
      <c r="M8" s="145">
        <v>32.0</v>
      </c>
      <c r="N8" s="145">
        <v>173.0</v>
      </c>
      <c r="O8" s="145">
        <v>12.0</v>
      </c>
      <c r="P8" s="145">
        <v>190.0</v>
      </c>
      <c r="Q8" s="145">
        <v>9.0</v>
      </c>
      <c r="R8" s="145">
        <v>0.0</v>
      </c>
      <c r="S8" s="145">
        <v>0.0</v>
      </c>
      <c r="T8" s="147" t="s">
        <v>37</v>
      </c>
      <c r="U8" s="148" t="s">
        <v>889</v>
      </c>
      <c r="V8" s="161" t="s">
        <v>590</v>
      </c>
      <c r="W8" s="149" t="s">
        <v>551</v>
      </c>
      <c r="X8" s="149" t="s">
        <v>890</v>
      </c>
      <c r="Y8" s="147" t="s">
        <v>677</v>
      </c>
      <c r="Z8" s="147" t="s">
        <v>557</v>
      </c>
      <c r="AA8" s="147" t="s">
        <v>11</v>
      </c>
      <c r="AB8" s="147" t="s">
        <v>891</v>
      </c>
      <c r="AC8" s="217">
        <v>1.0</v>
      </c>
      <c r="AD8" s="217">
        <v>2.0</v>
      </c>
      <c r="AE8" s="217">
        <v>1.0</v>
      </c>
      <c r="AF8" s="217">
        <v>1.0</v>
      </c>
    </row>
    <row r="9">
      <c r="A9" s="141">
        <v>35.0</v>
      </c>
      <c r="B9" s="185" t="s">
        <v>52</v>
      </c>
      <c r="C9" s="187" t="str">
        <f>HYPERLINK("https://azurlane.koumakan.jp/Juneau","Juneau")</f>
        <v>Juneau</v>
      </c>
      <c r="D9" s="185" t="s">
        <v>36</v>
      </c>
      <c r="E9" s="165">
        <v>3598.0</v>
      </c>
      <c r="F9" s="165">
        <v>131.0</v>
      </c>
      <c r="G9" s="165">
        <v>159.0</v>
      </c>
      <c r="H9" s="165">
        <v>0.0</v>
      </c>
      <c r="I9" s="165">
        <v>431.0</v>
      </c>
      <c r="J9" s="165">
        <v>181.0</v>
      </c>
      <c r="K9" s="165">
        <v>112.0</v>
      </c>
      <c r="L9" s="165" t="s">
        <v>29</v>
      </c>
      <c r="M9" s="165">
        <v>32.0</v>
      </c>
      <c r="N9" s="165">
        <v>173.0</v>
      </c>
      <c r="O9" s="165">
        <v>18.0</v>
      </c>
      <c r="P9" s="165">
        <v>190.0</v>
      </c>
      <c r="Q9" s="165">
        <v>9.0</v>
      </c>
      <c r="R9" s="165">
        <v>0.0</v>
      </c>
      <c r="S9" s="165">
        <v>0.0</v>
      </c>
      <c r="T9" s="147" t="s">
        <v>37</v>
      </c>
      <c r="U9" s="161" t="s">
        <v>892</v>
      </c>
      <c r="V9" s="161" t="s">
        <v>590</v>
      </c>
      <c r="W9" s="149" t="s">
        <v>551</v>
      </c>
      <c r="X9" s="149" t="s">
        <v>890</v>
      </c>
      <c r="Y9" s="147" t="s">
        <v>677</v>
      </c>
      <c r="Z9" s="147" t="s">
        <v>557</v>
      </c>
      <c r="AA9" s="147" t="s">
        <v>11</v>
      </c>
      <c r="AB9" s="147" t="s">
        <v>891</v>
      </c>
      <c r="AC9" s="216">
        <v>1.0</v>
      </c>
      <c r="AD9" s="216">
        <v>2.0</v>
      </c>
      <c r="AE9" s="216">
        <v>1.0</v>
      </c>
      <c r="AF9" s="216">
        <v>1.0</v>
      </c>
    </row>
    <row r="10" ht="15.75" customHeight="1">
      <c r="A10" s="141">
        <v>36.0</v>
      </c>
      <c r="B10" s="142" t="s">
        <v>52</v>
      </c>
      <c r="C10" s="143" t="str">
        <f>HYPERLINK("https://azurlane.koumakan.jp/San_Diego","San Diego")</f>
        <v>San Diego</v>
      </c>
      <c r="D10" s="142" t="s">
        <v>32</v>
      </c>
      <c r="E10" s="145">
        <v>3842.0</v>
      </c>
      <c r="F10" s="145">
        <v>139.0</v>
      </c>
      <c r="G10" s="145">
        <v>170.0</v>
      </c>
      <c r="H10" s="145">
        <v>0.0</v>
      </c>
      <c r="I10" s="145">
        <v>458.0</v>
      </c>
      <c r="J10" s="145">
        <v>193.0</v>
      </c>
      <c r="K10" s="145">
        <v>112.0</v>
      </c>
      <c r="L10" s="145" t="s">
        <v>29</v>
      </c>
      <c r="M10" s="145">
        <v>32.0</v>
      </c>
      <c r="N10" s="145">
        <v>173.0</v>
      </c>
      <c r="O10" s="145">
        <v>85.0</v>
      </c>
      <c r="P10" s="145">
        <v>204.0</v>
      </c>
      <c r="Q10" s="145">
        <v>11.0</v>
      </c>
      <c r="R10" s="145">
        <v>0.0</v>
      </c>
      <c r="S10" s="145">
        <v>0.0</v>
      </c>
      <c r="T10" s="147" t="s">
        <v>37</v>
      </c>
      <c r="U10" s="148" t="s">
        <v>893</v>
      </c>
      <c r="V10" s="149" t="s">
        <v>551</v>
      </c>
      <c r="W10" s="149" t="s">
        <v>551</v>
      </c>
      <c r="X10" s="149" t="s">
        <v>894</v>
      </c>
      <c r="Y10" s="147" t="s">
        <v>677</v>
      </c>
      <c r="Z10" s="147" t="s">
        <v>557</v>
      </c>
      <c r="AA10" s="147" t="s">
        <v>11</v>
      </c>
      <c r="AB10" s="147" t="s">
        <v>895</v>
      </c>
      <c r="AC10" s="217">
        <v>1.0</v>
      </c>
      <c r="AD10" s="217">
        <v>2.0</v>
      </c>
      <c r="AE10" s="217">
        <v>1.0</v>
      </c>
      <c r="AF10" s="217">
        <v>1.0</v>
      </c>
    </row>
    <row r="11">
      <c r="A11" s="141">
        <v>36.1</v>
      </c>
      <c r="B11" s="142" t="s">
        <v>52</v>
      </c>
      <c r="C11" s="143" t="str">
        <f>HYPERLINK("https://azurlane.koumakan.jp/San_Diego#Retrofit","San Diego (R)")</f>
        <v>San Diego (R)</v>
      </c>
      <c r="D11" s="142" t="s">
        <v>34</v>
      </c>
      <c r="E11" s="144">
        <v>4082.0</v>
      </c>
      <c r="F11" s="145">
        <v>184.0</v>
      </c>
      <c r="G11" s="145">
        <v>170.0</v>
      </c>
      <c r="H11" s="145">
        <v>0.0</v>
      </c>
      <c r="I11" s="168">
        <v>568.0</v>
      </c>
      <c r="J11" s="168">
        <v>213.0</v>
      </c>
      <c r="K11" s="145">
        <v>112.0</v>
      </c>
      <c r="L11" s="145" t="s">
        <v>29</v>
      </c>
      <c r="M11" s="145">
        <v>32.0</v>
      </c>
      <c r="N11" s="145">
        <v>173.0</v>
      </c>
      <c r="O11" s="146">
        <v>85.0</v>
      </c>
      <c r="P11" s="145">
        <v>204.0</v>
      </c>
      <c r="Q11" s="145">
        <v>11.0</v>
      </c>
      <c r="R11" s="145">
        <v>0.0</v>
      </c>
      <c r="S11" s="145">
        <v>0.0</v>
      </c>
      <c r="T11" s="147" t="s">
        <v>37</v>
      </c>
      <c r="U11" s="148" t="s">
        <v>893</v>
      </c>
      <c r="V11" s="149" t="s">
        <v>551</v>
      </c>
      <c r="W11" s="219" t="s">
        <v>896</v>
      </c>
      <c r="X11" s="149" t="s">
        <v>897</v>
      </c>
      <c r="Y11" s="147" t="s">
        <v>677</v>
      </c>
      <c r="Z11" s="147" t="s">
        <v>557</v>
      </c>
      <c r="AA11" s="147" t="s">
        <v>11</v>
      </c>
      <c r="AB11" s="147" t="s">
        <v>898</v>
      </c>
      <c r="AC11" s="217">
        <v>2.0</v>
      </c>
      <c r="AD11" s="217">
        <v>2.0</v>
      </c>
      <c r="AE11" s="217">
        <v>1.0</v>
      </c>
      <c r="AF11" s="217">
        <v>1.0</v>
      </c>
    </row>
    <row r="12" ht="15.75" customHeight="1">
      <c r="A12" s="141">
        <v>37.0</v>
      </c>
      <c r="B12" s="142" t="s">
        <v>52</v>
      </c>
      <c r="C12" s="143" t="str">
        <f>HYPERLINK("https://azurlane.koumakan.jp/Cleveland","Cleveland")</f>
        <v>Cleveland</v>
      </c>
      <c r="D12" s="142" t="s">
        <v>28</v>
      </c>
      <c r="E12" s="145">
        <v>4406.0</v>
      </c>
      <c r="F12" s="145">
        <v>167.0</v>
      </c>
      <c r="G12" s="145">
        <v>0.0</v>
      </c>
      <c r="H12" s="145">
        <v>0.0</v>
      </c>
      <c r="I12" s="145">
        <v>330.0</v>
      </c>
      <c r="J12" s="145">
        <v>191.0</v>
      </c>
      <c r="K12" s="145">
        <v>109.0</v>
      </c>
      <c r="L12" s="145" t="s">
        <v>29</v>
      </c>
      <c r="M12" s="145">
        <v>32.0</v>
      </c>
      <c r="N12" s="145">
        <v>168.0</v>
      </c>
      <c r="O12" s="145">
        <v>71.0</v>
      </c>
      <c r="P12" s="145">
        <v>102.0</v>
      </c>
      <c r="Q12" s="145">
        <v>10.0</v>
      </c>
      <c r="R12" s="145">
        <v>0.0</v>
      </c>
      <c r="S12" s="145">
        <v>0.0</v>
      </c>
      <c r="T12" s="147" t="s">
        <v>37</v>
      </c>
      <c r="U12" s="148" t="s">
        <v>899</v>
      </c>
      <c r="V12" s="161" t="s">
        <v>590</v>
      </c>
      <c r="W12" s="149" t="s">
        <v>551</v>
      </c>
      <c r="X12" s="149" t="s">
        <v>900</v>
      </c>
      <c r="Y12" s="147" t="s">
        <v>52</v>
      </c>
      <c r="Z12" s="147" t="s">
        <v>27</v>
      </c>
      <c r="AA12" s="147" t="s">
        <v>11</v>
      </c>
      <c r="AB12" s="147" t="s">
        <v>901</v>
      </c>
      <c r="AC12" s="216">
        <v>2.0</v>
      </c>
      <c r="AD12" s="216">
        <v>0.0</v>
      </c>
      <c r="AE12" s="216">
        <v>0.0</v>
      </c>
      <c r="AF12" s="216">
        <v>1.0</v>
      </c>
    </row>
    <row r="13">
      <c r="A13" s="141">
        <v>38.0</v>
      </c>
      <c r="B13" s="185" t="s">
        <v>52</v>
      </c>
      <c r="C13" s="187" t="str">
        <f>HYPERLINK("https://azurlane.koumakan.jp/Columbia","Columbia")</f>
        <v>Columbia</v>
      </c>
      <c r="D13" s="185" t="s">
        <v>28</v>
      </c>
      <c r="E13" s="165">
        <v>4406.0</v>
      </c>
      <c r="F13" s="165">
        <v>170.0</v>
      </c>
      <c r="G13" s="165">
        <v>0.0</v>
      </c>
      <c r="H13" s="165">
        <v>0.0</v>
      </c>
      <c r="I13" s="165">
        <v>330.0</v>
      </c>
      <c r="J13" s="165">
        <v>190.0</v>
      </c>
      <c r="K13" s="165">
        <v>109.0</v>
      </c>
      <c r="L13" s="165" t="s">
        <v>29</v>
      </c>
      <c r="M13" s="165">
        <v>32.0</v>
      </c>
      <c r="N13" s="165">
        <v>167.0</v>
      </c>
      <c r="O13" s="165">
        <v>70.0</v>
      </c>
      <c r="P13" s="165">
        <v>102.0</v>
      </c>
      <c r="Q13" s="165">
        <v>10.0</v>
      </c>
      <c r="R13" s="165">
        <v>0.0</v>
      </c>
      <c r="S13" s="165">
        <v>0.0</v>
      </c>
      <c r="T13" s="147" t="s">
        <v>37</v>
      </c>
      <c r="U13" s="148" t="s">
        <v>902</v>
      </c>
      <c r="V13" s="161" t="s">
        <v>590</v>
      </c>
      <c r="W13" s="149" t="s">
        <v>551</v>
      </c>
      <c r="X13" s="149" t="s">
        <v>900</v>
      </c>
      <c r="Y13" s="147" t="s">
        <v>52</v>
      </c>
      <c r="Z13" s="147" t="s">
        <v>27</v>
      </c>
      <c r="AA13" s="147" t="s">
        <v>11</v>
      </c>
      <c r="AB13" s="147" t="s">
        <v>901</v>
      </c>
      <c r="AC13" s="217">
        <v>2.0</v>
      </c>
      <c r="AD13" s="217">
        <v>0.0</v>
      </c>
      <c r="AE13" s="217">
        <v>0.0</v>
      </c>
      <c r="AF13" s="217">
        <v>1.0</v>
      </c>
    </row>
    <row r="14" ht="15.75" customHeight="1">
      <c r="A14" s="141">
        <v>104.0</v>
      </c>
      <c r="B14" s="142" t="s">
        <v>52</v>
      </c>
      <c r="C14" s="143" t="str">
        <f>HYPERLINK("https://azurlane.koumakan.jp/Leander","Leander")</f>
        <v>Leander</v>
      </c>
      <c r="D14" s="142" t="s">
        <v>40</v>
      </c>
      <c r="E14" s="145">
        <v>3322.0</v>
      </c>
      <c r="F14" s="145">
        <v>148.0</v>
      </c>
      <c r="G14" s="145">
        <v>274.0</v>
      </c>
      <c r="H14" s="145">
        <v>0.0</v>
      </c>
      <c r="I14" s="145">
        <v>328.0</v>
      </c>
      <c r="J14" s="145">
        <v>174.0</v>
      </c>
      <c r="K14" s="145">
        <v>128.0</v>
      </c>
      <c r="L14" s="145" t="s">
        <v>29</v>
      </c>
      <c r="M14" s="145">
        <v>32.0</v>
      </c>
      <c r="N14" s="145">
        <v>149.0</v>
      </c>
      <c r="O14" s="145">
        <v>44.0</v>
      </c>
      <c r="P14" s="145">
        <v>127.0</v>
      </c>
      <c r="Q14" s="145">
        <v>8.0</v>
      </c>
      <c r="R14" s="145">
        <v>0.0</v>
      </c>
      <c r="S14" s="145">
        <v>0.0</v>
      </c>
      <c r="T14" s="147" t="s">
        <v>104</v>
      </c>
      <c r="U14" s="148" t="s">
        <v>881</v>
      </c>
      <c r="V14" s="149" t="s">
        <v>551</v>
      </c>
      <c r="W14" s="149" t="s">
        <v>551</v>
      </c>
      <c r="X14" s="149" t="s">
        <v>903</v>
      </c>
      <c r="Y14" s="147" t="s">
        <v>52</v>
      </c>
      <c r="Z14" s="147" t="s">
        <v>557</v>
      </c>
      <c r="AA14" s="147" t="s">
        <v>11</v>
      </c>
      <c r="AB14" s="147" t="s">
        <v>904</v>
      </c>
      <c r="AC14" s="216">
        <v>1.0</v>
      </c>
      <c r="AD14" s="216">
        <v>2.0</v>
      </c>
      <c r="AE14" s="216">
        <v>1.0</v>
      </c>
      <c r="AF14" s="216">
        <v>1.0</v>
      </c>
    </row>
    <row r="15" ht="15.75" customHeight="1">
      <c r="A15" s="141">
        <v>104.1</v>
      </c>
      <c r="B15" s="142" t="s">
        <v>52</v>
      </c>
      <c r="C15" s="143" t="str">
        <f>HYPERLINK("https://azurlane.koumakan.jp/Leander#Retrofit","Leander (R)")</f>
        <v>Leander (R)</v>
      </c>
      <c r="D15" s="142" t="s">
        <v>36</v>
      </c>
      <c r="E15" s="158">
        <v>3562.0</v>
      </c>
      <c r="F15" s="145">
        <v>198.0</v>
      </c>
      <c r="G15" s="145">
        <v>309.0</v>
      </c>
      <c r="H15" s="145">
        <v>0.0</v>
      </c>
      <c r="I15" s="145">
        <v>328.0</v>
      </c>
      <c r="J15" s="145">
        <v>179.0</v>
      </c>
      <c r="K15" s="145">
        <v>128.0</v>
      </c>
      <c r="L15" s="145" t="s">
        <v>29</v>
      </c>
      <c r="M15" s="145">
        <v>32.0</v>
      </c>
      <c r="N15" s="145">
        <v>149.0</v>
      </c>
      <c r="O15" s="169">
        <v>44.0</v>
      </c>
      <c r="P15" s="145">
        <v>127.0</v>
      </c>
      <c r="Q15" s="145">
        <v>8.0</v>
      </c>
      <c r="R15" s="145">
        <v>0.0</v>
      </c>
      <c r="S15" s="145">
        <v>0.0</v>
      </c>
      <c r="T15" s="147" t="s">
        <v>104</v>
      </c>
      <c r="U15" s="148" t="s">
        <v>881</v>
      </c>
      <c r="V15" s="149" t="s">
        <v>551</v>
      </c>
      <c r="W15" s="161" t="s">
        <v>587</v>
      </c>
      <c r="X15" s="149" t="s">
        <v>903</v>
      </c>
      <c r="Y15" s="147" t="s">
        <v>52</v>
      </c>
      <c r="Z15" s="147" t="s">
        <v>557</v>
      </c>
      <c r="AA15" s="147" t="s">
        <v>11</v>
      </c>
      <c r="AB15" s="147" t="s">
        <v>905</v>
      </c>
      <c r="AC15" s="216">
        <v>1.0</v>
      </c>
      <c r="AD15" s="216">
        <v>2.0</v>
      </c>
      <c r="AE15" s="216">
        <v>1.0</v>
      </c>
      <c r="AF15" s="216">
        <v>1.0</v>
      </c>
    </row>
    <row r="16" ht="15.75" customHeight="1">
      <c r="A16" s="141">
        <v>105.0</v>
      </c>
      <c r="B16" s="142" t="s">
        <v>52</v>
      </c>
      <c r="C16" s="143" t="str">
        <f>HYPERLINK("https://azurlane.koumakan.jp/Achilles","Achilles")</f>
        <v>Achilles</v>
      </c>
      <c r="D16" s="142" t="s">
        <v>36</v>
      </c>
      <c r="E16" s="145">
        <v>3044.0</v>
      </c>
      <c r="F16" s="145">
        <v>166.0</v>
      </c>
      <c r="G16" s="145">
        <v>328.0</v>
      </c>
      <c r="H16" s="145">
        <v>0.0</v>
      </c>
      <c r="I16" s="145">
        <v>301.0</v>
      </c>
      <c r="J16" s="145">
        <v>177.0</v>
      </c>
      <c r="K16" s="145">
        <v>114.0</v>
      </c>
      <c r="L16" s="145" t="s">
        <v>29</v>
      </c>
      <c r="M16" s="145">
        <v>32.0</v>
      </c>
      <c r="N16" s="145">
        <v>152.0</v>
      </c>
      <c r="O16" s="145">
        <v>54.0</v>
      </c>
      <c r="P16" s="145">
        <v>130.0</v>
      </c>
      <c r="Q16" s="145">
        <v>9.0</v>
      </c>
      <c r="R16" s="145">
        <v>0.0</v>
      </c>
      <c r="S16" s="145">
        <v>0.0</v>
      </c>
      <c r="T16" s="147" t="s">
        <v>104</v>
      </c>
      <c r="U16" s="164" t="s">
        <v>575</v>
      </c>
      <c r="V16" s="149" t="s">
        <v>551</v>
      </c>
      <c r="W16" s="149" t="s">
        <v>551</v>
      </c>
      <c r="X16" s="149" t="s">
        <v>903</v>
      </c>
      <c r="Y16" s="147" t="s">
        <v>52</v>
      </c>
      <c r="Z16" s="147" t="s">
        <v>557</v>
      </c>
      <c r="AA16" s="147" t="s">
        <v>11</v>
      </c>
      <c r="AB16" s="147" t="s">
        <v>906</v>
      </c>
      <c r="AC16" s="217">
        <v>1.0</v>
      </c>
      <c r="AD16" s="217">
        <v>2.0</v>
      </c>
      <c r="AE16" s="217">
        <v>1.0</v>
      </c>
      <c r="AF16" s="217">
        <v>1.0</v>
      </c>
    </row>
    <row r="17" ht="15.75" customHeight="1">
      <c r="A17" s="141">
        <v>105.1</v>
      </c>
      <c r="B17" s="142" t="s">
        <v>52</v>
      </c>
      <c r="C17" s="143" t="str">
        <f>HYPERLINK("https://azurlane.koumakan.jp/Achilles#Retrofit","Achilles (R)")</f>
        <v>Achilles (R)</v>
      </c>
      <c r="D17" s="142" t="s">
        <v>28</v>
      </c>
      <c r="E17" s="158">
        <v>3284.0</v>
      </c>
      <c r="F17" s="168">
        <v>216.0</v>
      </c>
      <c r="G17" s="145">
        <v>363.0</v>
      </c>
      <c r="H17" s="145">
        <v>0.0</v>
      </c>
      <c r="I17" s="145">
        <v>301.0</v>
      </c>
      <c r="J17" s="145">
        <v>182.0</v>
      </c>
      <c r="K17" s="145">
        <v>114.0</v>
      </c>
      <c r="L17" s="145" t="s">
        <v>29</v>
      </c>
      <c r="M17" s="145">
        <v>32.0</v>
      </c>
      <c r="N17" s="145">
        <v>152.0</v>
      </c>
      <c r="O17" s="169">
        <v>54.0</v>
      </c>
      <c r="P17" s="145">
        <v>130.0</v>
      </c>
      <c r="Q17" s="145">
        <v>9.0</v>
      </c>
      <c r="R17" s="145">
        <v>0.0</v>
      </c>
      <c r="S17" s="145">
        <v>0.0</v>
      </c>
      <c r="T17" s="147" t="s">
        <v>104</v>
      </c>
      <c r="U17" s="164" t="s">
        <v>575</v>
      </c>
      <c r="V17" s="149" t="s">
        <v>551</v>
      </c>
      <c r="W17" s="164" t="s">
        <v>907</v>
      </c>
      <c r="X17" s="149" t="s">
        <v>903</v>
      </c>
      <c r="Y17" s="147" t="s">
        <v>52</v>
      </c>
      <c r="Z17" s="147" t="s">
        <v>557</v>
      </c>
      <c r="AA17" s="147" t="s">
        <v>11</v>
      </c>
      <c r="AB17" s="147" t="s">
        <v>908</v>
      </c>
      <c r="AC17" s="217">
        <v>1.0</v>
      </c>
      <c r="AD17" s="217">
        <v>2.0</v>
      </c>
      <c r="AE17" s="217">
        <v>1.0</v>
      </c>
      <c r="AF17" s="217">
        <v>1.0</v>
      </c>
    </row>
    <row r="18" ht="15.75" customHeight="1">
      <c r="A18" s="141">
        <v>106.0</v>
      </c>
      <c r="B18" s="185" t="s">
        <v>52</v>
      </c>
      <c r="C18" s="187" t="str">
        <f>HYPERLINK("https://azurlane.koumakan.jp/Ajax","Ajax")</f>
        <v>Ajax</v>
      </c>
      <c r="D18" s="142" t="s">
        <v>36</v>
      </c>
      <c r="E18" s="145">
        <v>3044.0</v>
      </c>
      <c r="F18" s="145">
        <v>166.0</v>
      </c>
      <c r="G18" s="145">
        <v>328.0</v>
      </c>
      <c r="H18" s="145">
        <v>0.0</v>
      </c>
      <c r="I18" s="145">
        <v>301.0</v>
      </c>
      <c r="J18" s="145">
        <v>177.0</v>
      </c>
      <c r="K18" s="145">
        <v>114.0</v>
      </c>
      <c r="L18" s="145" t="s">
        <v>29</v>
      </c>
      <c r="M18" s="145">
        <v>32.0</v>
      </c>
      <c r="N18" s="145">
        <v>152.0</v>
      </c>
      <c r="O18" s="145">
        <v>74.0</v>
      </c>
      <c r="P18" s="145">
        <v>130.0</v>
      </c>
      <c r="Q18" s="145">
        <v>9.0</v>
      </c>
      <c r="R18" s="145">
        <v>0.0</v>
      </c>
      <c r="S18" s="145">
        <v>0.0</v>
      </c>
      <c r="T18" s="147" t="s">
        <v>104</v>
      </c>
      <c r="U18" s="164" t="s">
        <v>575</v>
      </c>
      <c r="V18" s="149" t="s">
        <v>551</v>
      </c>
      <c r="W18" s="149" t="s">
        <v>551</v>
      </c>
      <c r="X18" s="149" t="s">
        <v>903</v>
      </c>
      <c r="Y18" s="147" t="s">
        <v>52</v>
      </c>
      <c r="Z18" s="147" t="s">
        <v>557</v>
      </c>
      <c r="AA18" s="147" t="s">
        <v>11</v>
      </c>
      <c r="AB18" s="147" t="s">
        <v>906</v>
      </c>
      <c r="AC18" s="216">
        <v>1.0</v>
      </c>
      <c r="AD18" s="216">
        <v>2.0</v>
      </c>
      <c r="AE18" s="216">
        <v>1.0</v>
      </c>
      <c r="AF18" s="216">
        <v>1.0</v>
      </c>
    </row>
    <row r="19" ht="15.75" customHeight="1">
      <c r="A19" s="141">
        <v>106.1</v>
      </c>
      <c r="B19" s="142" t="s">
        <v>52</v>
      </c>
      <c r="C19" s="143" t="str">
        <f>HYPERLINK("https://azurlane.koumakan.jp/Ajax#Retrofit","Ajax (R)")</f>
        <v>Ajax (R)</v>
      </c>
      <c r="D19" s="142" t="s">
        <v>28</v>
      </c>
      <c r="E19" s="158">
        <v>3284.0</v>
      </c>
      <c r="F19" s="168">
        <v>216.0</v>
      </c>
      <c r="G19" s="145">
        <v>363.0</v>
      </c>
      <c r="H19" s="145">
        <v>0.0</v>
      </c>
      <c r="I19" s="145">
        <v>301.0</v>
      </c>
      <c r="J19" s="145">
        <v>182.0</v>
      </c>
      <c r="K19" s="145">
        <v>114.0</v>
      </c>
      <c r="L19" s="145" t="s">
        <v>29</v>
      </c>
      <c r="M19" s="145">
        <v>32.0</v>
      </c>
      <c r="N19" s="145">
        <v>152.0</v>
      </c>
      <c r="O19" s="169">
        <v>74.0</v>
      </c>
      <c r="P19" s="145">
        <v>130.0</v>
      </c>
      <c r="Q19" s="145">
        <v>9.0</v>
      </c>
      <c r="R19" s="145">
        <v>0.0</v>
      </c>
      <c r="S19" s="145">
        <v>0.0</v>
      </c>
      <c r="T19" s="147" t="s">
        <v>104</v>
      </c>
      <c r="U19" s="164" t="s">
        <v>575</v>
      </c>
      <c r="V19" s="149" t="s">
        <v>551</v>
      </c>
      <c r="W19" s="164" t="s">
        <v>907</v>
      </c>
      <c r="X19" s="149" t="s">
        <v>903</v>
      </c>
      <c r="Y19" s="147" t="s">
        <v>52</v>
      </c>
      <c r="Z19" s="147" t="s">
        <v>557</v>
      </c>
      <c r="AA19" s="147" t="s">
        <v>11</v>
      </c>
      <c r="AB19" s="147" t="s">
        <v>909</v>
      </c>
      <c r="AC19" s="216">
        <v>1.0</v>
      </c>
      <c r="AD19" s="216">
        <v>2.0</v>
      </c>
      <c r="AE19" s="216">
        <v>1.0</v>
      </c>
      <c r="AF19" s="216">
        <v>1.0</v>
      </c>
    </row>
    <row r="20" ht="15.75" customHeight="1">
      <c r="A20" s="182">
        <v>107.0</v>
      </c>
      <c r="B20" s="183" t="s">
        <v>52</v>
      </c>
      <c r="C20" s="152" t="str">
        <f>HYPERLINK("https://azurlane.koumakan.jp/Dido","Dido")</f>
        <v>Dido</v>
      </c>
      <c r="D20" s="170" t="s">
        <v>32</v>
      </c>
      <c r="E20" s="170">
        <v>3831.0</v>
      </c>
      <c r="F20" s="170">
        <v>160.0</v>
      </c>
      <c r="G20" s="170">
        <v>180.0</v>
      </c>
      <c r="H20" s="170">
        <v>0.0</v>
      </c>
      <c r="I20" s="170">
        <v>396.0</v>
      </c>
      <c r="J20" s="170">
        <v>196.0</v>
      </c>
      <c r="K20" s="170">
        <v>114.0</v>
      </c>
      <c r="L20" s="170" t="s">
        <v>29</v>
      </c>
      <c r="M20" s="170">
        <v>32.0</v>
      </c>
      <c r="N20" s="170">
        <v>164.0</v>
      </c>
      <c r="O20" s="170">
        <v>85.0</v>
      </c>
      <c r="P20" s="170">
        <v>171.0</v>
      </c>
      <c r="Q20" s="170">
        <v>11.0</v>
      </c>
      <c r="R20" s="170">
        <v>0.0</v>
      </c>
      <c r="S20" s="170">
        <v>0.0</v>
      </c>
      <c r="T20" s="170" t="s">
        <v>104</v>
      </c>
      <c r="U20" s="172" t="s">
        <v>910</v>
      </c>
      <c r="V20" s="172" t="s">
        <v>911</v>
      </c>
      <c r="W20" s="170" t="s">
        <v>551</v>
      </c>
      <c r="X20" s="170" t="s">
        <v>912</v>
      </c>
      <c r="Y20" s="170" t="s">
        <v>677</v>
      </c>
      <c r="Z20" s="170" t="s">
        <v>557</v>
      </c>
      <c r="AA20" s="170" t="s">
        <v>11</v>
      </c>
      <c r="AB20" s="170" t="s">
        <v>913</v>
      </c>
      <c r="AC20" s="170">
        <v>1.0</v>
      </c>
      <c r="AD20" s="170">
        <v>2.0</v>
      </c>
      <c r="AE20" s="170">
        <v>1.0</v>
      </c>
      <c r="AF20" s="170">
        <v>1.0</v>
      </c>
    </row>
    <row r="21" ht="15.75" customHeight="1">
      <c r="A21" s="182">
        <v>110.0</v>
      </c>
      <c r="B21" s="183" t="s">
        <v>52</v>
      </c>
      <c r="C21" s="152" t="str">
        <f>HYPERLINK("https://azurlane.koumakan.jp/Southampton","Southampton")</f>
        <v>Southampton</v>
      </c>
      <c r="D21" s="170" t="s">
        <v>36</v>
      </c>
      <c r="E21" s="170">
        <v>3773.0</v>
      </c>
      <c r="F21" s="170">
        <v>153.0</v>
      </c>
      <c r="G21" s="170">
        <v>276.0</v>
      </c>
      <c r="H21" s="170">
        <v>0.0</v>
      </c>
      <c r="I21" s="170">
        <v>314.0</v>
      </c>
      <c r="J21" s="170">
        <v>174.0</v>
      </c>
      <c r="K21" s="170">
        <v>119.0</v>
      </c>
      <c r="L21" s="170" t="s">
        <v>29</v>
      </c>
      <c r="M21" s="170">
        <v>32.0</v>
      </c>
      <c r="N21" s="170">
        <v>161.0</v>
      </c>
      <c r="O21" s="170">
        <v>32.0</v>
      </c>
      <c r="P21" s="170">
        <v>105.0</v>
      </c>
      <c r="Q21" s="170">
        <v>9.0</v>
      </c>
      <c r="R21" s="170">
        <v>0.0</v>
      </c>
      <c r="S21" s="170">
        <v>0.0</v>
      </c>
      <c r="T21" s="147" t="s">
        <v>104</v>
      </c>
      <c r="U21" s="161" t="s">
        <v>587</v>
      </c>
      <c r="V21" s="148" t="s">
        <v>717</v>
      </c>
      <c r="W21" s="149" t="s">
        <v>551</v>
      </c>
      <c r="X21" s="149" t="s">
        <v>914</v>
      </c>
      <c r="Y21" s="147" t="s">
        <v>52</v>
      </c>
      <c r="Z21" s="147" t="s">
        <v>557</v>
      </c>
      <c r="AA21" s="147" t="s">
        <v>11</v>
      </c>
      <c r="AB21" s="147" t="s">
        <v>915</v>
      </c>
      <c r="AC21" s="147">
        <v>1.0</v>
      </c>
      <c r="AD21" s="147">
        <v>2.0</v>
      </c>
      <c r="AE21" s="147">
        <v>1.0</v>
      </c>
      <c r="AF21" s="147">
        <v>1.0</v>
      </c>
    </row>
    <row r="22" ht="15.75" customHeight="1">
      <c r="A22" s="141">
        <v>111.0</v>
      </c>
      <c r="B22" s="142" t="s">
        <v>52</v>
      </c>
      <c r="C22" s="143" t="str">
        <f>HYPERLINK("https://azurlane.koumakan.jp/Sheffield","Sheffield")</f>
        <v>Sheffield</v>
      </c>
      <c r="D22" s="142" t="s">
        <v>28</v>
      </c>
      <c r="E22" s="145">
        <v>3884.0</v>
      </c>
      <c r="F22" s="145">
        <v>158.0</v>
      </c>
      <c r="G22" s="145">
        <v>299.0</v>
      </c>
      <c r="H22" s="145">
        <v>0.0</v>
      </c>
      <c r="I22" s="145">
        <v>358.0</v>
      </c>
      <c r="J22" s="145">
        <v>185.0</v>
      </c>
      <c r="K22" s="145">
        <v>119.0</v>
      </c>
      <c r="L22" s="145" t="s">
        <v>29</v>
      </c>
      <c r="M22" s="145">
        <v>32.0</v>
      </c>
      <c r="N22" s="145">
        <v>164.0</v>
      </c>
      <c r="O22" s="145">
        <v>78.0</v>
      </c>
      <c r="P22" s="145">
        <v>89.0</v>
      </c>
      <c r="Q22" s="145">
        <v>10.0</v>
      </c>
      <c r="R22" s="145">
        <v>0.0</v>
      </c>
      <c r="S22" s="145">
        <v>0.0</v>
      </c>
      <c r="T22" s="147" t="s">
        <v>104</v>
      </c>
      <c r="U22" s="161" t="s">
        <v>916</v>
      </c>
      <c r="V22" s="164" t="s">
        <v>917</v>
      </c>
      <c r="W22" s="149" t="s">
        <v>551</v>
      </c>
      <c r="X22" s="149" t="s">
        <v>914</v>
      </c>
      <c r="Y22" s="147" t="s">
        <v>52</v>
      </c>
      <c r="Z22" s="147" t="s">
        <v>557</v>
      </c>
      <c r="AA22" s="147" t="s">
        <v>11</v>
      </c>
      <c r="AB22" s="147" t="s">
        <v>918</v>
      </c>
      <c r="AC22" s="217">
        <v>1.0</v>
      </c>
      <c r="AD22" s="217">
        <v>2.0</v>
      </c>
      <c r="AE22" s="217">
        <v>1.0</v>
      </c>
      <c r="AF22" s="217">
        <v>1.0</v>
      </c>
    </row>
    <row r="23" ht="15.75" customHeight="1">
      <c r="A23" s="182">
        <v>113.0</v>
      </c>
      <c r="B23" s="183" t="s">
        <v>52</v>
      </c>
      <c r="C23" s="152" t="str">
        <f>HYPERLINK("https://azurlane.koumakan.jp/Gloucester","Gloucester")</f>
        <v>Gloucester</v>
      </c>
      <c r="D23" s="170" t="s">
        <v>28</v>
      </c>
      <c r="E23" s="170">
        <v>3875.0</v>
      </c>
      <c r="F23" s="170">
        <v>158.0</v>
      </c>
      <c r="G23" s="170">
        <v>284.0</v>
      </c>
      <c r="H23" s="170">
        <v>0.0</v>
      </c>
      <c r="I23" s="170">
        <v>324.0</v>
      </c>
      <c r="J23" s="170">
        <v>178.0</v>
      </c>
      <c r="K23" s="170">
        <v>119.0</v>
      </c>
      <c r="L23" s="170" t="s">
        <v>29</v>
      </c>
      <c r="M23" s="170">
        <v>32.0</v>
      </c>
      <c r="N23" s="170">
        <v>161.0</v>
      </c>
      <c r="O23" s="170">
        <v>45.0</v>
      </c>
      <c r="P23" s="170">
        <v>143.0</v>
      </c>
      <c r="Q23" s="170">
        <v>11.0</v>
      </c>
      <c r="R23" s="170">
        <v>0.0</v>
      </c>
      <c r="S23" s="170">
        <v>0.0</v>
      </c>
      <c r="T23" s="170" t="s">
        <v>104</v>
      </c>
      <c r="U23" s="172" t="s">
        <v>919</v>
      </c>
      <c r="V23" s="173" t="s">
        <v>920</v>
      </c>
      <c r="W23" s="170" t="s">
        <v>551</v>
      </c>
      <c r="X23" s="170" t="s">
        <v>921</v>
      </c>
      <c r="Y23" s="170" t="s">
        <v>52</v>
      </c>
      <c r="Z23" s="170" t="s">
        <v>557</v>
      </c>
      <c r="AA23" s="170" t="s">
        <v>11</v>
      </c>
      <c r="AB23" s="170" t="s">
        <v>918</v>
      </c>
      <c r="AC23" s="170">
        <v>1.0</v>
      </c>
      <c r="AD23" s="170">
        <v>2.0</v>
      </c>
      <c r="AE23" s="170">
        <v>1.0</v>
      </c>
      <c r="AF23" s="170">
        <v>1.0</v>
      </c>
    </row>
    <row r="24" ht="15.75" customHeight="1">
      <c r="A24" s="141">
        <v>114.0</v>
      </c>
      <c r="B24" s="142" t="s">
        <v>52</v>
      </c>
      <c r="C24" s="143" t="str">
        <f>HYPERLINK("https://azurlane.koumakan.jp/Edinburgh","Edinburgh")</f>
        <v>Edinburgh</v>
      </c>
      <c r="D24" s="142" t="s">
        <v>28</v>
      </c>
      <c r="E24" s="165">
        <v>4588.0</v>
      </c>
      <c r="F24" s="145">
        <v>159.0</v>
      </c>
      <c r="G24" s="145">
        <v>284.0</v>
      </c>
      <c r="H24" s="145">
        <v>0.0</v>
      </c>
      <c r="I24" s="145">
        <v>320.0</v>
      </c>
      <c r="J24" s="145">
        <v>178.0</v>
      </c>
      <c r="K24" s="145">
        <v>119.0</v>
      </c>
      <c r="L24" s="145" t="s">
        <v>29</v>
      </c>
      <c r="M24" s="145">
        <v>32.0</v>
      </c>
      <c r="N24" s="145">
        <v>164.0</v>
      </c>
      <c r="O24" s="166">
        <v>37.0</v>
      </c>
      <c r="P24" s="145">
        <v>102.0</v>
      </c>
      <c r="Q24" s="145">
        <v>10.0</v>
      </c>
      <c r="R24" s="145">
        <v>0.0</v>
      </c>
      <c r="S24" s="145">
        <v>0.0</v>
      </c>
      <c r="T24" s="147" t="s">
        <v>104</v>
      </c>
      <c r="U24" s="164" t="s">
        <v>689</v>
      </c>
      <c r="V24" s="149" t="s">
        <v>551</v>
      </c>
      <c r="W24" s="149" t="s">
        <v>551</v>
      </c>
      <c r="X24" s="149" t="s">
        <v>922</v>
      </c>
      <c r="Y24" s="147" t="s">
        <v>52</v>
      </c>
      <c r="Z24" s="147" t="s">
        <v>557</v>
      </c>
      <c r="AA24" s="147" t="s">
        <v>11</v>
      </c>
      <c r="AB24" s="147" t="s">
        <v>923</v>
      </c>
      <c r="AC24" s="216">
        <v>1.0</v>
      </c>
      <c r="AD24" s="216">
        <v>2.0</v>
      </c>
      <c r="AE24" s="216">
        <v>1.0</v>
      </c>
      <c r="AF24" s="216">
        <v>1.0</v>
      </c>
    </row>
    <row r="25" ht="15.75" customHeight="1">
      <c r="A25" s="141">
        <v>115.0</v>
      </c>
      <c r="B25" s="142" t="s">
        <v>52</v>
      </c>
      <c r="C25" s="143" t="str">
        <f>HYPERLINK("https://azurlane.koumakan.jp/Belfast","Belfast")</f>
        <v>Belfast</v>
      </c>
      <c r="D25" s="142" t="s">
        <v>32</v>
      </c>
      <c r="E25" s="165">
        <v>4062.0</v>
      </c>
      <c r="F25" s="145">
        <v>181.0</v>
      </c>
      <c r="G25" s="145">
        <v>344.0</v>
      </c>
      <c r="H25" s="145">
        <v>0.0</v>
      </c>
      <c r="I25" s="145">
        <v>299.0</v>
      </c>
      <c r="J25" s="145">
        <v>185.0</v>
      </c>
      <c r="K25" s="145">
        <v>113.0</v>
      </c>
      <c r="L25" s="145" t="s">
        <v>29</v>
      </c>
      <c r="M25" s="145">
        <v>32.0</v>
      </c>
      <c r="N25" s="145">
        <v>164.0</v>
      </c>
      <c r="O25" s="166">
        <v>88.0</v>
      </c>
      <c r="P25" s="145">
        <v>147.0</v>
      </c>
      <c r="Q25" s="145">
        <v>11.0</v>
      </c>
      <c r="R25" s="145">
        <v>0.0</v>
      </c>
      <c r="S25" s="145">
        <v>0.0</v>
      </c>
      <c r="T25" s="147" t="s">
        <v>104</v>
      </c>
      <c r="U25" s="164" t="s">
        <v>924</v>
      </c>
      <c r="V25" s="161" t="s">
        <v>925</v>
      </c>
      <c r="W25" s="149" t="s">
        <v>551</v>
      </c>
      <c r="X25" s="149" t="s">
        <v>926</v>
      </c>
      <c r="Y25" s="147" t="s">
        <v>52</v>
      </c>
      <c r="Z25" s="147" t="s">
        <v>557</v>
      </c>
      <c r="AA25" s="147" t="s">
        <v>11</v>
      </c>
      <c r="AB25" s="147" t="s">
        <v>923</v>
      </c>
      <c r="AC25" s="217">
        <v>1.0</v>
      </c>
      <c r="AD25" s="217">
        <v>2.0</v>
      </c>
      <c r="AE25" s="217">
        <v>1.0</v>
      </c>
      <c r="AF25" s="217">
        <v>1.0</v>
      </c>
    </row>
    <row r="26" ht="15.75" customHeight="1">
      <c r="A26" s="141">
        <v>116.0</v>
      </c>
      <c r="B26" s="142" t="s">
        <v>52</v>
      </c>
      <c r="C26" s="143" t="str">
        <f>HYPERLINK("https://azurlane.koumakan.jp/Arethusa","Arethusa")</f>
        <v>Arethusa</v>
      </c>
      <c r="D26" s="142" t="s">
        <v>36</v>
      </c>
      <c r="E26" s="165">
        <v>2896.0</v>
      </c>
      <c r="F26" s="145">
        <v>158.0</v>
      </c>
      <c r="G26" s="145">
        <v>274.0</v>
      </c>
      <c r="H26" s="145">
        <v>0.0</v>
      </c>
      <c r="I26" s="145">
        <v>331.0</v>
      </c>
      <c r="J26" s="145">
        <v>190.0</v>
      </c>
      <c r="K26" s="145">
        <v>119.0</v>
      </c>
      <c r="L26" s="145" t="s">
        <v>29</v>
      </c>
      <c r="M26" s="145">
        <v>32.0</v>
      </c>
      <c r="N26" s="145">
        <v>175.0</v>
      </c>
      <c r="O26" s="166">
        <v>69.0</v>
      </c>
      <c r="P26" s="145">
        <v>117.0</v>
      </c>
      <c r="Q26" s="145">
        <v>9.0</v>
      </c>
      <c r="R26" s="145">
        <v>0.0</v>
      </c>
      <c r="S26" s="145">
        <v>0.0</v>
      </c>
      <c r="T26" s="147" t="s">
        <v>104</v>
      </c>
      <c r="U26" s="148" t="s">
        <v>717</v>
      </c>
      <c r="V26" s="149" t="s">
        <v>551</v>
      </c>
      <c r="W26" s="149" t="s">
        <v>551</v>
      </c>
      <c r="X26" s="149" t="s">
        <v>927</v>
      </c>
      <c r="Y26" s="147" t="s">
        <v>52</v>
      </c>
      <c r="Z26" s="147" t="s">
        <v>557</v>
      </c>
      <c r="AA26" s="147" t="s">
        <v>11</v>
      </c>
      <c r="AB26" s="147" t="s">
        <v>928</v>
      </c>
      <c r="AC26" s="216">
        <v>1.0</v>
      </c>
      <c r="AD26" s="216">
        <v>2.0</v>
      </c>
      <c r="AE26" s="216">
        <v>1.0</v>
      </c>
      <c r="AF26" s="216">
        <v>1.0</v>
      </c>
    </row>
    <row r="27" ht="15.75" customHeight="1">
      <c r="A27" s="141">
        <v>117.0</v>
      </c>
      <c r="B27" s="142" t="s">
        <v>52</v>
      </c>
      <c r="C27" s="143" t="str">
        <f>HYPERLINK("https://azurlane.koumakan.jp/Galatea","Galatea")</f>
        <v>Galatea</v>
      </c>
      <c r="D27" s="142" t="s">
        <v>36</v>
      </c>
      <c r="E27" s="165">
        <v>2896.0</v>
      </c>
      <c r="F27" s="145">
        <v>158.0</v>
      </c>
      <c r="G27" s="145">
        <v>274.0</v>
      </c>
      <c r="H27" s="145">
        <v>0.0</v>
      </c>
      <c r="I27" s="145">
        <v>331.0</v>
      </c>
      <c r="J27" s="145">
        <v>190.0</v>
      </c>
      <c r="K27" s="145">
        <v>119.0</v>
      </c>
      <c r="L27" s="145" t="s">
        <v>29</v>
      </c>
      <c r="M27" s="145">
        <v>32.0</v>
      </c>
      <c r="N27" s="145">
        <v>175.0</v>
      </c>
      <c r="O27" s="166">
        <v>26.0</v>
      </c>
      <c r="P27" s="145">
        <v>94.0</v>
      </c>
      <c r="Q27" s="145">
        <v>9.0</v>
      </c>
      <c r="R27" s="145">
        <v>0.0</v>
      </c>
      <c r="S27" s="145">
        <v>0.0</v>
      </c>
      <c r="T27" s="147" t="s">
        <v>104</v>
      </c>
      <c r="U27" s="164" t="s">
        <v>575</v>
      </c>
      <c r="V27" s="149" t="s">
        <v>551</v>
      </c>
      <c r="W27" s="149" t="s">
        <v>551</v>
      </c>
      <c r="X27" s="149" t="s">
        <v>927</v>
      </c>
      <c r="Y27" s="147" t="s">
        <v>52</v>
      </c>
      <c r="Z27" s="147" t="s">
        <v>557</v>
      </c>
      <c r="AA27" s="147" t="s">
        <v>11</v>
      </c>
      <c r="AB27" s="147" t="s">
        <v>928</v>
      </c>
      <c r="AC27" s="217">
        <v>1.0</v>
      </c>
      <c r="AD27" s="217">
        <v>2.0</v>
      </c>
      <c r="AE27" s="217">
        <v>1.0</v>
      </c>
      <c r="AF27" s="217">
        <v>1.0</v>
      </c>
    </row>
    <row r="28" ht="15.75" customHeight="1">
      <c r="A28" s="141">
        <v>118.0</v>
      </c>
      <c r="B28" s="142" t="s">
        <v>52</v>
      </c>
      <c r="C28" s="143" t="str">
        <f>HYPERLINK("https://azurlane.koumakan.jp/Aurora","Aurora")</f>
        <v>Aurora</v>
      </c>
      <c r="D28" s="142" t="s">
        <v>28</v>
      </c>
      <c r="E28" s="165">
        <v>2982.0</v>
      </c>
      <c r="F28" s="145">
        <v>164.0</v>
      </c>
      <c r="G28" s="145">
        <v>282.0</v>
      </c>
      <c r="H28" s="145">
        <v>0.0</v>
      </c>
      <c r="I28" s="145">
        <v>341.0</v>
      </c>
      <c r="J28" s="145">
        <v>197.0</v>
      </c>
      <c r="K28" s="145">
        <v>119.0</v>
      </c>
      <c r="L28" s="145" t="s">
        <v>29</v>
      </c>
      <c r="M28" s="145">
        <v>32.0</v>
      </c>
      <c r="N28" s="145">
        <v>176.0</v>
      </c>
      <c r="O28" s="166">
        <v>84.0</v>
      </c>
      <c r="P28" s="145">
        <v>110.0</v>
      </c>
      <c r="Q28" s="145">
        <v>10.0</v>
      </c>
      <c r="R28" s="145">
        <v>0.0</v>
      </c>
      <c r="S28" s="145">
        <v>0.0</v>
      </c>
      <c r="T28" s="147" t="s">
        <v>104</v>
      </c>
      <c r="U28" s="164" t="s">
        <v>929</v>
      </c>
      <c r="V28" s="148" t="s">
        <v>930</v>
      </c>
      <c r="W28" s="149" t="s">
        <v>551</v>
      </c>
      <c r="X28" s="149" t="s">
        <v>927</v>
      </c>
      <c r="Y28" s="147" t="s">
        <v>52</v>
      </c>
      <c r="Z28" s="147" t="s">
        <v>557</v>
      </c>
      <c r="AA28" s="147" t="s">
        <v>11</v>
      </c>
      <c r="AB28" s="147" t="s">
        <v>931</v>
      </c>
      <c r="AC28" s="216">
        <v>1.0</v>
      </c>
      <c r="AD28" s="216">
        <v>2.0</v>
      </c>
      <c r="AE28" s="216">
        <v>1.0</v>
      </c>
      <c r="AF28" s="216">
        <v>1.0</v>
      </c>
    </row>
    <row r="29" ht="15.75" customHeight="1">
      <c r="A29" s="141">
        <v>179.0</v>
      </c>
      <c r="B29" s="142" t="s">
        <v>52</v>
      </c>
      <c r="C29" s="143" t="str">
        <f>HYPERLINK("https://azurlane.koumakan.jp/Yuubari","Yuubari")</f>
        <v>Yuubari</v>
      </c>
      <c r="D29" s="142" t="s">
        <v>28</v>
      </c>
      <c r="E29" s="165">
        <v>2228.0</v>
      </c>
      <c r="F29" s="145">
        <v>133.0</v>
      </c>
      <c r="G29" s="145">
        <v>280.0</v>
      </c>
      <c r="H29" s="145">
        <v>0.0</v>
      </c>
      <c r="I29" s="145">
        <v>314.0</v>
      </c>
      <c r="J29" s="145">
        <v>185.0</v>
      </c>
      <c r="K29" s="145">
        <v>124.0</v>
      </c>
      <c r="L29" s="145" t="s">
        <v>29</v>
      </c>
      <c r="M29" s="145">
        <v>35.0</v>
      </c>
      <c r="N29" s="145">
        <v>143.0</v>
      </c>
      <c r="O29" s="166">
        <v>53.0</v>
      </c>
      <c r="P29" s="145">
        <v>85.0</v>
      </c>
      <c r="Q29" s="145">
        <v>8.0</v>
      </c>
      <c r="R29" s="145">
        <v>0.0</v>
      </c>
      <c r="S29" s="145">
        <v>0.0</v>
      </c>
      <c r="T29" s="147" t="s">
        <v>143</v>
      </c>
      <c r="U29" s="148" t="s">
        <v>932</v>
      </c>
      <c r="V29" s="164" t="s">
        <v>575</v>
      </c>
      <c r="W29" s="149" t="s">
        <v>551</v>
      </c>
      <c r="X29" s="149" t="s">
        <v>933</v>
      </c>
      <c r="Y29" s="147" t="s">
        <v>52</v>
      </c>
      <c r="Z29" s="147" t="s">
        <v>557</v>
      </c>
      <c r="AA29" s="147" t="s">
        <v>11</v>
      </c>
      <c r="AB29" s="147" t="s">
        <v>934</v>
      </c>
      <c r="AC29" s="217">
        <v>1.0</v>
      </c>
      <c r="AD29" s="217">
        <v>2.0</v>
      </c>
      <c r="AE29" s="217">
        <v>1.0</v>
      </c>
      <c r="AF29" s="217">
        <v>1.0</v>
      </c>
    </row>
    <row r="30" ht="15.75" customHeight="1">
      <c r="A30" s="156">
        <v>179.1</v>
      </c>
      <c r="B30" s="149" t="s">
        <v>52</v>
      </c>
      <c r="C30" s="157" t="str">
        <f>HYPERLINK("https://azurlane.koumakan.jp/Yuubari#Retrofit","Yuubari (R)")</f>
        <v>Yuubari (R)</v>
      </c>
      <c r="D30" s="142" t="s">
        <v>32</v>
      </c>
      <c r="E30" s="144">
        <v>2393.0</v>
      </c>
      <c r="F30" s="158">
        <v>163.0</v>
      </c>
      <c r="G30" s="158">
        <v>290.0</v>
      </c>
      <c r="H30" s="158">
        <v>0.0</v>
      </c>
      <c r="I30" s="158">
        <v>339.0</v>
      </c>
      <c r="J30" s="158">
        <v>205.0</v>
      </c>
      <c r="K30" s="158">
        <v>124.0</v>
      </c>
      <c r="L30" s="158" t="s">
        <v>29</v>
      </c>
      <c r="M30" s="158">
        <v>35.0</v>
      </c>
      <c r="N30" s="145">
        <v>163.0</v>
      </c>
      <c r="O30" s="166">
        <v>53.0</v>
      </c>
      <c r="P30" s="158">
        <v>85.0</v>
      </c>
      <c r="Q30" s="158">
        <v>8.0</v>
      </c>
      <c r="R30" s="158">
        <v>0.0</v>
      </c>
      <c r="S30" s="158">
        <v>0.0</v>
      </c>
      <c r="T30" s="147" t="s">
        <v>143</v>
      </c>
      <c r="U30" s="148" t="s">
        <v>932</v>
      </c>
      <c r="V30" s="164" t="s">
        <v>575</v>
      </c>
      <c r="W30" s="148" t="s">
        <v>935</v>
      </c>
      <c r="X30" s="149" t="s">
        <v>933</v>
      </c>
      <c r="Y30" s="147" t="s">
        <v>52</v>
      </c>
      <c r="Z30" s="147" t="s">
        <v>557</v>
      </c>
      <c r="AA30" s="147" t="s">
        <v>11</v>
      </c>
      <c r="AB30" s="147" t="s">
        <v>936</v>
      </c>
      <c r="AC30" s="217">
        <v>1.0</v>
      </c>
      <c r="AD30" s="217">
        <v>2.0</v>
      </c>
      <c r="AE30" s="217">
        <v>1.0</v>
      </c>
      <c r="AF30" s="217">
        <v>1.0</v>
      </c>
    </row>
    <row r="31" ht="15.75" customHeight="1">
      <c r="A31" s="141">
        <v>182.0</v>
      </c>
      <c r="B31" s="142" t="s">
        <v>52</v>
      </c>
      <c r="C31" s="143" t="str">
        <f>HYPERLINK("https://azurlane.koumakan.jp/Nagara","Nagara")</f>
        <v>Nagara</v>
      </c>
      <c r="D31" s="142" t="s">
        <v>40</v>
      </c>
      <c r="E31" s="165">
        <v>2959.0</v>
      </c>
      <c r="F31" s="145">
        <v>142.0</v>
      </c>
      <c r="G31" s="145">
        <v>282.0</v>
      </c>
      <c r="H31" s="145">
        <v>0.0</v>
      </c>
      <c r="I31" s="145">
        <v>284.0</v>
      </c>
      <c r="J31" s="145">
        <v>175.0</v>
      </c>
      <c r="K31" s="145">
        <v>132.0</v>
      </c>
      <c r="L31" s="145" t="s">
        <v>29</v>
      </c>
      <c r="M31" s="145">
        <v>36.0</v>
      </c>
      <c r="N31" s="145">
        <v>149.0</v>
      </c>
      <c r="O31" s="166">
        <v>36.0</v>
      </c>
      <c r="P31" s="145">
        <v>85.0</v>
      </c>
      <c r="Q31" s="145">
        <v>8.0</v>
      </c>
      <c r="R31" s="145">
        <v>0.0</v>
      </c>
      <c r="S31" s="145">
        <v>0.0</v>
      </c>
      <c r="T31" s="147" t="s">
        <v>143</v>
      </c>
      <c r="U31" s="164" t="s">
        <v>575</v>
      </c>
      <c r="V31" s="149" t="s">
        <v>551</v>
      </c>
      <c r="W31" s="149" t="s">
        <v>551</v>
      </c>
      <c r="X31" s="149" t="s">
        <v>937</v>
      </c>
      <c r="Y31" s="147" t="s">
        <v>52</v>
      </c>
      <c r="Z31" s="147" t="s">
        <v>557</v>
      </c>
      <c r="AA31" s="147" t="s">
        <v>11</v>
      </c>
      <c r="AB31" s="147" t="s">
        <v>934</v>
      </c>
      <c r="AC31" s="216">
        <v>1.0</v>
      </c>
      <c r="AD31" s="216">
        <v>2.0</v>
      </c>
      <c r="AE31" s="216">
        <v>1.0</v>
      </c>
      <c r="AF31" s="216">
        <v>1.0</v>
      </c>
    </row>
    <row r="32" ht="15.75" customHeight="1">
      <c r="A32" s="141">
        <v>183.0</v>
      </c>
      <c r="B32" s="142" t="s">
        <v>52</v>
      </c>
      <c r="C32" s="143" t="str">
        <f>HYPERLINK("https://azurlane.koumakan.jp/Isuzu","Isuzu")</f>
        <v>Isuzu</v>
      </c>
      <c r="D32" s="142" t="s">
        <v>36</v>
      </c>
      <c r="E32" s="165">
        <v>3289.0</v>
      </c>
      <c r="F32" s="145">
        <v>121.0</v>
      </c>
      <c r="G32" s="145">
        <v>223.0</v>
      </c>
      <c r="H32" s="145">
        <v>0.0</v>
      </c>
      <c r="I32" s="145">
        <v>350.0</v>
      </c>
      <c r="J32" s="145">
        <v>178.0</v>
      </c>
      <c r="K32" s="145">
        <v>119.0</v>
      </c>
      <c r="L32" s="145" t="s">
        <v>29</v>
      </c>
      <c r="M32" s="145">
        <v>36.0</v>
      </c>
      <c r="N32" s="145">
        <v>149.0</v>
      </c>
      <c r="O32" s="166">
        <v>33.0</v>
      </c>
      <c r="P32" s="145">
        <v>100.0</v>
      </c>
      <c r="Q32" s="145">
        <v>9.0</v>
      </c>
      <c r="R32" s="145">
        <v>0.0</v>
      </c>
      <c r="S32" s="145">
        <v>0.0</v>
      </c>
      <c r="T32" s="147" t="s">
        <v>143</v>
      </c>
      <c r="U32" s="161" t="s">
        <v>590</v>
      </c>
      <c r="V32" s="149" t="s">
        <v>551</v>
      </c>
      <c r="W32" s="149" t="s">
        <v>551</v>
      </c>
      <c r="X32" s="149" t="s">
        <v>937</v>
      </c>
      <c r="Y32" s="147" t="s">
        <v>677</v>
      </c>
      <c r="Z32" s="147" t="s">
        <v>557</v>
      </c>
      <c r="AA32" s="147" t="s">
        <v>11</v>
      </c>
      <c r="AB32" s="147" t="s">
        <v>938</v>
      </c>
      <c r="AC32" s="217">
        <v>1.0</v>
      </c>
      <c r="AD32" s="217">
        <v>2.0</v>
      </c>
      <c r="AE32" s="217">
        <v>1.0</v>
      </c>
      <c r="AF32" s="217">
        <v>2.0</v>
      </c>
    </row>
    <row r="33" ht="15.75" customHeight="1">
      <c r="A33" s="141">
        <v>183.1</v>
      </c>
      <c r="B33" s="142" t="s">
        <v>52</v>
      </c>
      <c r="C33" s="143" t="str">
        <f>HYPERLINK("https://azurlane.koumakan.jp/Isuzu#Retrofit","Isuzu (R)")</f>
        <v>Isuzu (R)</v>
      </c>
      <c r="D33" s="142" t="s">
        <v>28</v>
      </c>
      <c r="E33" s="165">
        <v>3529.0</v>
      </c>
      <c r="F33" s="145">
        <v>121.0</v>
      </c>
      <c r="G33" s="145">
        <v>233.0</v>
      </c>
      <c r="H33" s="145">
        <v>0.0</v>
      </c>
      <c r="I33" s="145">
        <v>400.0</v>
      </c>
      <c r="J33" s="145">
        <v>178.0</v>
      </c>
      <c r="K33" s="145">
        <v>119.0</v>
      </c>
      <c r="L33" s="145" t="s">
        <v>29</v>
      </c>
      <c r="M33" s="145">
        <v>36.0</v>
      </c>
      <c r="N33" s="145">
        <v>164.0</v>
      </c>
      <c r="O33" s="166">
        <v>33.0</v>
      </c>
      <c r="P33" s="145">
        <v>135.0</v>
      </c>
      <c r="Q33" s="145">
        <v>9.0</v>
      </c>
      <c r="R33" s="145">
        <v>0.0</v>
      </c>
      <c r="S33" s="145">
        <v>0.0</v>
      </c>
      <c r="T33" s="147" t="s">
        <v>143</v>
      </c>
      <c r="U33" s="161" t="s">
        <v>590</v>
      </c>
      <c r="V33" s="149" t="s">
        <v>551</v>
      </c>
      <c r="W33" s="164" t="s">
        <v>939</v>
      </c>
      <c r="X33" s="149" t="s">
        <v>937</v>
      </c>
      <c r="Y33" s="147" t="s">
        <v>677</v>
      </c>
      <c r="Z33" s="147" t="s">
        <v>557</v>
      </c>
      <c r="AA33" s="147" t="s">
        <v>11</v>
      </c>
      <c r="AB33" s="147" t="s">
        <v>940</v>
      </c>
      <c r="AC33" s="147">
        <v>1.0</v>
      </c>
      <c r="AD33" s="147">
        <v>2.0</v>
      </c>
      <c r="AE33" s="147">
        <v>1.0</v>
      </c>
      <c r="AF33" s="147">
        <v>2.0</v>
      </c>
    </row>
    <row r="34" ht="15.75" customHeight="1">
      <c r="A34" s="220">
        <v>185.0</v>
      </c>
      <c r="B34" s="221" t="s">
        <v>52</v>
      </c>
      <c r="C34" s="171" t="s">
        <v>163</v>
      </c>
      <c r="D34" s="183" t="s">
        <v>28</v>
      </c>
      <c r="E34" s="222">
        <v>2965.0</v>
      </c>
      <c r="F34" s="221">
        <v>148.0</v>
      </c>
      <c r="G34" s="221">
        <v>296.0</v>
      </c>
      <c r="H34" s="221">
        <v>0.0</v>
      </c>
      <c r="I34" s="221">
        <v>310.0</v>
      </c>
      <c r="J34" s="221">
        <v>185.0</v>
      </c>
      <c r="K34" s="221">
        <v>124.0</v>
      </c>
      <c r="L34" s="221" t="s">
        <v>29</v>
      </c>
      <c r="M34" s="221">
        <v>36.0</v>
      </c>
      <c r="N34" s="221">
        <v>149.0</v>
      </c>
      <c r="O34" s="223">
        <v>40.0</v>
      </c>
      <c r="P34" s="221">
        <v>143.0</v>
      </c>
      <c r="Q34" s="221">
        <v>10.0</v>
      </c>
      <c r="R34" s="221">
        <v>0.0</v>
      </c>
      <c r="S34" s="221">
        <v>0.0</v>
      </c>
      <c r="T34" s="147" t="s">
        <v>143</v>
      </c>
      <c r="U34" s="173" t="s">
        <v>941</v>
      </c>
      <c r="V34" s="172" t="s">
        <v>942</v>
      </c>
      <c r="W34" s="183" t="s">
        <v>551</v>
      </c>
      <c r="X34" s="183" t="s">
        <v>937</v>
      </c>
      <c r="Y34" s="224" t="s">
        <v>52</v>
      </c>
      <c r="Z34" s="224" t="s">
        <v>557</v>
      </c>
      <c r="AA34" s="224" t="s">
        <v>11</v>
      </c>
      <c r="AB34" s="224" t="s">
        <v>943</v>
      </c>
      <c r="AC34" s="224">
        <v>1.0</v>
      </c>
      <c r="AD34" s="224">
        <v>2.0</v>
      </c>
      <c r="AE34" s="224">
        <v>1.0</v>
      </c>
      <c r="AF34" s="224">
        <v>1.0</v>
      </c>
    </row>
    <row r="35" ht="15.75" customHeight="1">
      <c r="A35" s="182">
        <v>186.0</v>
      </c>
      <c r="B35" s="183" t="s">
        <v>52</v>
      </c>
      <c r="C35" s="152" t="str">
        <f>HYPERLINK("https://azurlane.koumakan.jp/Kinu","Kinu")</f>
        <v>Kinu</v>
      </c>
      <c r="D35" s="170" t="s">
        <v>28</v>
      </c>
      <c r="E35" s="191">
        <v>2953.0</v>
      </c>
      <c r="F35" s="170">
        <v>150.0</v>
      </c>
      <c r="G35" s="170">
        <v>293.0</v>
      </c>
      <c r="H35" s="170">
        <v>0.0</v>
      </c>
      <c r="I35" s="170">
        <v>310.0</v>
      </c>
      <c r="J35" s="170">
        <v>183.0</v>
      </c>
      <c r="K35" s="170">
        <v>124.0</v>
      </c>
      <c r="L35" s="170" t="s">
        <v>29</v>
      </c>
      <c r="M35" s="170">
        <v>36.0</v>
      </c>
      <c r="N35" s="170">
        <v>149.0</v>
      </c>
      <c r="O35" s="192">
        <v>52.0</v>
      </c>
      <c r="P35" s="170">
        <v>125.0</v>
      </c>
      <c r="Q35" s="170">
        <v>10.0</v>
      </c>
      <c r="R35" s="170">
        <v>0.0</v>
      </c>
      <c r="S35" s="170">
        <v>0.0</v>
      </c>
      <c r="T35" s="170" t="s">
        <v>143</v>
      </c>
      <c r="U35" s="225" t="s">
        <v>944</v>
      </c>
      <c r="V35" s="183" t="s">
        <v>551</v>
      </c>
      <c r="W35" s="183" t="s">
        <v>551</v>
      </c>
      <c r="X35" s="183" t="s">
        <v>937</v>
      </c>
      <c r="Y35" s="218" t="s">
        <v>52</v>
      </c>
      <c r="Z35" s="218" t="s">
        <v>557</v>
      </c>
      <c r="AA35" s="218" t="s">
        <v>11</v>
      </c>
      <c r="AB35" s="218" t="s">
        <v>945</v>
      </c>
      <c r="AC35" s="218">
        <v>1.0</v>
      </c>
      <c r="AD35" s="218">
        <v>2.0</v>
      </c>
      <c r="AE35" s="218">
        <v>1.0</v>
      </c>
      <c r="AF35" s="218">
        <v>1.0</v>
      </c>
    </row>
    <row r="36" ht="15.75" customHeight="1">
      <c r="A36" s="182">
        <v>186.1</v>
      </c>
      <c r="B36" s="183" t="s">
        <v>52</v>
      </c>
      <c r="C36" s="152" t="str">
        <f>HYPERLINK("https://azurlane.koumakan.jp/Kinu#Retrofit","Kinu (R)")</f>
        <v>Kinu (R)</v>
      </c>
      <c r="D36" s="170" t="s">
        <v>32</v>
      </c>
      <c r="E36" s="191">
        <v>3193.0</v>
      </c>
      <c r="F36" s="170">
        <v>160.0</v>
      </c>
      <c r="G36" s="170">
        <v>358.0</v>
      </c>
      <c r="H36" s="170">
        <v>0.0</v>
      </c>
      <c r="I36" s="170">
        <v>325.0</v>
      </c>
      <c r="J36" s="170">
        <v>188.0</v>
      </c>
      <c r="K36" s="170">
        <v>124.0</v>
      </c>
      <c r="L36" s="170" t="s">
        <v>29</v>
      </c>
      <c r="M36" s="170">
        <v>36.0</v>
      </c>
      <c r="N36" s="170">
        <v>154.0</v>
      </c>
      <c r="O36" s="192">
        <v>52.0</v>
      </c>
      <c r="P36" s="170">
        <v>125.0</v>
      </c>
      <c r="Q36" s="170">
        <v>10.0</v>
      </c>
      <c r="R36" s="170">
        <v>0.0</v>
      </c>
      <c r="S36" s="170">
        <v>0.0</v>
      </c>
      <c r="T36" s="170" t="s">
        <v>143</v>
      </c>
      <c r="U36" s="225" t="s">
        <v>944</v>
      </c>
      <c r="V36" s="183" t="s">
        <v>551</v>
      </c>
      <c r="W36" s="226" t="s">
        <v>946</v>
      </c>
      <c r="X36" s="183" t="s">
        <v>937</v>
      </c>
      <c r="Y36" s="218" t="s">
        <v>52</v>
      </c>
      <c r="Z36" s="218" t="s">
        <v>557</v>
      </c>
      <c r="AA36" s="218" t="s">
        <v>11</v>
      </c>
      <c r="AB36" s="218" t="s">
        <v>947</v>
      </c>
      <c r="AC36" s="218">
        <v>1.0</v>
      </c>
      <c r="AD36" s="218">
        <v>2.0</v>
      </c>
      <c r="AE36" s="218">
        <v>1.0</v>
      </c>
      <c r="AF36" s="218">
        <v>1.0</v>
      </c>
    </row>
    <row r="37" ht="15.75" customHeight="1">
      <c r="A37" s="141">
        <v>187.0</v>
      </c>
      <c r="B37" s="142" t="s">
        <v>52</v>
      </c>
      <c r="C37" s="143" t="str">
        <f>HYPERLINK("https://azurlane.koumakan.jp/Abukuma","Abukuma")</f>
        <v>Abukuma</v>
      </c>
      <c r="D37" s="142" t="s">
        <v>40</v>
      </c>
      <c r="E37" s="165">
        <v>2959.0</v>
      </c>
      <c r="F37" s="145">
        <v>142.0</v>
      </c>
      <c r="G37" s="145">
        <v>282.0</v>
      </c>
      <c r="H37" s="145">
        <v>0.0</v>
      </c>
      <c r="I37" s="145">
        <v>284.0</v>
      </c>
      <c r="J37" s="145">
        <v>175.0</v>
      </c>
      <c r="K37" s="145">
        <v>132.0</v>
      </c>
      <c r="L37" s="145" t="s">
        <v>29</v>
      </c>
      <c r="M37" s="145">
        <v>36.0</v>
      </c>
      <c r="N37" s="145">
        <v>149.0</v>
      </c>
      <c r="O37" s="166">
        <v>43.0</v>
      </c>
      <c r="P37" s="145">
        <v>94.0</v>
      </c>
      <c r="Q37" s="145">
        <v>8.0</v>
      </c>
      <c r="R37" s="145">
        <v>0.0</v>
      </c>
      <c r="S37" s="145">
        <v>0.0</v>
      </c>
      <c r="T37" s="147" t="s">
        <v>143</v>
      </c>
      <c r="U37" s="148" t="s">
        <v>564</v>
      </c>
      <c r="V37" s="149" t="s">
        <v>551</v>
      </c>
      <c r="W37" s="149" t="s">
        <v>551</v>
      </c>
      <c r="X37" s="149" t="s">
        <v>937</v>
      </c>
      <c r="Y37" s="147" t="s">
        <v>52</v>
      </c>
      <c r="Z37" s="147" t="s">
        <v>557</v>
      </c>
      <c r="AA37" s="147" t="s">
        <v>11</v>
      </c>
      <c r="AB37" s="147" t="s">
        <v>934</v>
      </c>
      <c r="AC37" s="216">
        <v>1.0</v>
      </c>
      <c r="AD37" s="216">
        <v>2.0</v>
      </c>
      <c r="AE37" s="216">
        <v>1.0</v>
      </c>
      <c r="AF37" s="216">
        <v>1.0</v>
      </c>
    </row>
    <row r="38" ht="15.75" customHeight="1">
      <c r="A38" s="141">
        <v>187.1</v>
      </c>
      <c r="B38" s="142" t="s">
        <v>52</v>
      </c>
      <c r="C38" s="143" t="str">
        <f>HYPERLINK("https://azurlane.koumakan.jp/Abukuma#Retrofit","Abukuma (R)")</f>
        <v>Abukuma (R)</v>
      </c>
      <c r="D38" s="142" t="s">
        <v>36</v>
      </c>
      <c r="E38" s="144">
        <v>3199.0</v>
      </c>
      <c r="F38" s="145">
        <v>162.0</v>
      </c>
      <c r="G38" s="145">
        <v>347.0</v>
      </c>
      <c r="H38" s="145">
        <v>0.0</v>
      </c>
      <c r="I38" s="145">
        <v>284.0</v>
      </c>
      <c r="J38" s="145">
        <v>180.0</v>
      </c>
      <c r="K38" s="145">
        <v>132.0</v>
      </c>
      <c r="L38" s="145" t="s">
        <v>29</v>
      </c>
      <c r="M38" s="145">
        <v>36.0</v>
      </c>
      <c r="N38" s="145">
        <v>149.0</v>
      </c>
      <c r="O38" s="146">
        <v>43.0</v>
      </c>
      <c r="P38" s="145">
        <v>94.0</v>
      </c>
      <c r="Q38" s="145">
        <v>8.0</v>
      </c>
      <c r="R38" s="145">
        <v>0.0</v>
      </c>
      <c r="S38" s="145">
        <v>0.0</v>
      </c>
      <c r="T38" s="147" t="s">
        <v>143</v>
      </c>
      <c r="U38" s="148" t="s">
        <v>564</v>
      </c>
      <c r="V38" s="149" t="s">
        <v>551</v>
      </c>
      <c r="W38" s="164" t="s">
        <v>565</v>
      </c>
      <c r="X38" s="149" t="s">
        <v>937</v>
      </c>
      <c r="Y38" s="147" t="s">
        <v>52</v>
      </c>
      <c r="Z38" s="147" t="s">
        <v>557</v>
      </c>
      <c r="AA38" s="147" t="s">
        <v>11</v>
      </c>
      <c r="AB38" s="147" t="s">
        <v>948</v>
      </c>
      <c r="AC38" s="216">
        <v>1.0</v>
      </c>
      <c r="AD38" s="216">
        <v>2.0</v>
      </c>
      <c r="AE38" s="216">
        <v>1.0</v>
      </c>
      <c r="AF38" s="216">
        <v>1.0</v>
      </c>
    </row>
    <row r="39" ht="15.75" customHeight="1">
      <c r="A39" s="141">
        <v>188.0</v>
      </c>
      <c r="B39" s="142" t="s">
        <v>52</v>
      </c>
      <c r="C39" s="143" t="str">
        <f>HYPERLINK("https://azurlane.koumakan.jp/Mogami","Mogami")</f>
        <v>Mogami</v>
      </c>
      <c r="D39" s="142" t="s">
        <v>28</v>
      </c>
      <c r="E39" s="165">
        <v>4109.0</v>
      </c>
      <c r="F39" s="145">
        <v>204.0</v>
      </c>
      <c r="G39" s="145">
        <v>188.0</v>
      </c>
      <c r="H39" s="145">
        <v>0.0</v>
      </c>
      <c r="I39" s="145">
        <v>190.0</v>
      </c>
      <c r="J39" s="145">
        <v>191.0</v>
      </c>
      <c r="K39" s="145">
        <v>85.0</v>
      </c>
      <c r="L39" s="145" t="s">
        <v>71</v>
      </c>
      <c r="M39" s="145">
        <v>29.0</v>
      </c>
      <c r="N39" s="145">
        <v>153.0</v>
      </c>
      <c r="O39" s="166">
        <v>14.0</v>
      </c>
      <c r="P39" s="145">
        <v>46.0</v>
      </c>
      <c r="Q39" s="145">
        <v>11.0</v>
      </c>
      <c r="R39" s="145">
        <v>0.0</v>
      </c>
      <c r="S39" s="145">
        <v>0.0</v>
      </c>
      <c r="T39" s="147" t="s">
        <v>143</v>
      </c>
      <c r="U39" s="164" t="s">
        <v>575</v>
      </c>
      <c r="V39" s="161" t="s">
        <v>949</v>
      </c>
      <c r="W39" s="149" t="s">
        <v>551</v>
      </c>
      <c r="X39" s="149" t="s">
        <v>950</v>
      </c>
      <c r="Y39" s="147" t="s">
        <v>52</v>
      </c>
      <c r="Z39" s="147" t="s">
        <v>557</v>
      </c>
      <c r="AA39" s="147" t="s">
        <v>11</v>
      </c>
      <c r="AB39" s="147" t="s">
        <v>951</v>
      </c>
      <c r="AC39" s="217">
        <v>1.0</v>
      </c>
      <c r="AD39" s="217">
        <v>2.0</v>
      </c>
      <c r="AE39" s="217">
        <v>1.0</v>
      </c>
      <c r="AF39" s="217">
        <v>1.0</v>
      </c>
    </row>
    <row r="40" ht="15.75" customHeight="1">
      <c r="A40" s="141">
        <v>189.0</v>
      </c>
      <c r="B40" s="142" t="s">
        <v>52</v>
      </c>
      <c r="C40" s="143" t="str">
        <f>HYPERLINK("https://azurlane.koumakan.jp/Mikuma","Mikuma")</f>
        <v>Mikuma</v>
      </c>
      <c r="D40" s="142" t="s">
        <v>28</v>
      </c>
      <c r="E40" s="165">
        <v>4109.0</v>
      </c>
      <c r="F40" s="145">
        <v>204.0</v>
      </c>
      <c r="G40" s="145">
        <v>190.0</v>
      </c>
      <c r="H40" s="145">
        <v>0.0</v>
      </c>
      <c r="I40" s="145">
        <v>190.0</v>
      </c>
      <c r="J40" s="145">
        <v>191.0</v>
      </c>
      <c r="K40" s="145">
        <v>85.0</v>
      </c>
      <c r="L40" s="145" t="s">
        <v>71</v>
      </c>
      <c r="M40" s="145">
        <v>29.0</v>
      </c>
      <c r="N40" s="145">
        <v>153.0</v>
      </c>
      <c r="O40" s="166">
        <v>13.0</v>
      </c>
      <c r="P40" s="145">
        <v>46.0</v>
      </c>
      <c r="Q40" s="145">
        <v>11.0</v>
      </c>
      <c r="R40" s="145">
        <v>0.0</v>
      </c>
      <c r="S40" s="145">
        <v>0.0</v>
      </c>
      <c r="T40" s="147" t="s">
        <v>143</v>
      </c>
      <c r="U40" s="161" t="s">
        <v>952</v>
      </c>
      <c r="V40" s="161" t="s">
        <v>949</v>
      </c>
      <c r="W40" s="149" t="s">
        <v>551</v>
      </c>
      <c r="X40" s="149" t="s">
        <v>950</v>
      </c>
      <c r="Y40" s="147" t="s">
        <v>52</v>
      </c>
      <c r="Z40" s="147" t="s">
        <v>557</v>
      </c>
      <c r="AA40" s="147" t="s">
        <v>11</v>
      </c>
      <c r="AB40" s="147" t="s">
        <v>951</v>
      </c>
      <c r="AC40" s="216">
        <v>1.0</v>
      </c>
      <c r="AD40" s="216">
        <v>2.0</v>
      </c>
      <c r="AE40" s="216">
        <v>1.0</v>
      </c>
      <c r="AF40" s="216">
        <v>1.0</v>
      </c>
    </row>
    <row r="41" ht="15.75" customHeight="1">
      <c r="A41" s="141">
        <v>238.0</v>
      </c>
      <c r="B41" s="142" t="s">
        <v>52</v>
      </c>
      <c r="C41" s="143" t="str">
        <f>HYPERLINK("https://azurlane.koumakan.jp/K%C3%B6nigsberg","Konigsberg")</f>
        <v>Konigsberg</v>
      </c>
      <c r="D41" s="142" t="s">
        <v>40</v>
      </c>
      <c r="E41" s="165">
        <v>3450.0</v>
      </c>
      <c r="F41" s="145">
        <v>155.0</v>
      </c>
      <c r="G41" s="145">
        <v>276.0</v>
      </c>
      <c r="H41" s="145">
        <v>0.0</v>
      </c>
      <c r="I41" s="145">
        <v>341.0</v>
      </c>
      <c r="J41" s="145">
        <v>177.0</v>
      </c>
      <c r="K41" s="145">
        <v>126.0</v>
      </c>
      <c r="L41" s="145" t="s">
        <v>29</v>
      </c>
      <c r="M41" s="145">
        <v>32.0</v>
      </c>
      <c r="N41" s="145">
        <v>157.0</v>
      </c>
      <c r="O41" s="166">
        <v>42.0</v>
      </c>
      <c r="P41" s="145">
        <v>105.0</v>
      </c>
      <c r="Q41" s="145">
        <v>8.0</v>
      </c>
      <c r="R41" s="145">
        <v>0.0</v>
      </c>
      <c r="S41" s="145">
        <v>0.0</v>
      </c>
      <c r="T41" s="147" t="s">
        <v>193</v>
      </c>
      <c r="U41" s="148" t="s">
        <v>953</v>
      </c>
      <c r="V41" s="149" t="s">
        <v>551</v>
      </c>
      <c r="W41" s="149" t="s">
        <v>551</v>
      </c>
      <c r="X41" s="149" t="s">
        <v>954</v>
      </c>
      <c r="Y41" s="147" t="s">
        <v>52</v>
      </c>
      <c r="Z41" s="147" t="s">
        <v>557</v>
      </c>
      <c r="AA41" s="147" t="s">
        <v>11</v>
      </c>
      <c r="AB41" s="147" t="s">
        <v>880</v>
      </c>
      <c r="AC41" s="217">
        <v>1.0</v>
      </c>
      <c r="AD41" s="217">
        <v>2.0</v>
      </c>
      <c r="AE41" s="217">
        <v>1.0</v>
      </c>
      <c r="AF41" s="217">
        <v>1.0</v>
      </c>
    </row>
    <row r="42" ht="15.75" customHeight="1">
      <c r="A42" s="141">
        <v>239.0</v>
      </c>
      <c r="B42" s="142" t="s">
        <v>52</v>
      </c>
      <c r="C42" s="143" t="str">
        <f>HYPERLINK("https://azurlane.koumakan.jp/Karlsruhe","Karlsruhe")</f>
        <v>Karlsruhe</v>
      </c>
      <c r="D42" s="142" t="s">
        <v>40</v>
      </c>
      <c r="E42" s="165">
        <v>3450.0</v>
      </c>
      <c r="F42" s="145">
        <v>155.0</v>
      </c>
      <c r="G42" s="145">
        <v>276.0</v>
      </c>
      <c r="H42" s="145">
        <v>0.0</v>
      </c>
      <c r="I42" s="145">
        <v>341.0</v>
      </c>
      <c r="J42" s="145">
        <v>177.0</v>
      </c>
      <c r="K42" s="145">
        <v>126.0</v>
      </c>
      <c r="L42" s="145" t="s">
        <v>29</v>
      </c>
      <c r="M42" s="145">
        <v>32.0</v>
      </c>
      <c r="N42" s="145">
        <v>157.0</v>
      </c>
      <c r="O42" s="166">
        <v>39.0</v>
      </c>
      <c r="P42" s="145">
        <v>89.0</v>
      </c>
      <c r="Q42" s="145">
        <v>8.0</v>
      </c>
      <c r="R42" s="145">
        <v>0.0</v>
      </c>
      <c r="S42" s="145">
        <v>0.0</v>
      </c>
      <c r="T42" s="147" t="s">
        <v>193</v>
      </c>
      <c r="U42" s="164" t="s">
        <v>575</v>
      </c>
      <c r="V42" s="149" t="s">
        <v>551</v>
      </c>
      <c r="W42" s="149" t="s">
        <v>551</v>
      </c>
      <c r="X42" s="149" t="s">
        <v>954</v>
      </c>
      <c r="Y42" s="147" t="s">
        <v>52</v>
      </c>
      <c r="Z42" s="147" t="s">
        <v>557</v>
      </c>
      <c r="AA42" s="147" t="s">
        <v>11</v>
      </c>
      <c r="AB42" s="147" t="s">
        <v>880</v>
      </c>
      <c r="AC42" s="216">
        <v>1.0</v>
      </c>
      <c r="AD42" s="216">
        <v>2.0</v>
      </c>
      <c r="AE42" s="216">
        <v>1.0</v>
      </c>
      <c r="AF42" s="216">
        <v>1.0</v>
      </c>
    </row>
    <row r="43" ht="15.75" customHeight="1">
      <c r="A43" s="141">
        <v>239.1</v>
      </c>
      <c r="B43" s="142" t="s">
        <v>52</v>
      </c>
      <c r="C43" s="143" t="str">
        <f>HYPERLINK("https://azurlane.koumakan.jp/Karlsruhe#Retrofit","Karlsruhe (R)")</f>
        <v>Karlsruhe (R)</v>
      </c>
      <c r="D43" s="142" t="s">
        <v>36</v>
      </c>
      <c r="E43" s="144">
        <v>3690.0</v>
      </c>
      <c r="F43" s="145">
        <v>175.0</v>
      </c>
      <c r="G43" s="145">
        <v>321.0</v>
      </c>
      <c r="H43" s="145">
        <v>0.0</v>
      </c>
      <c r="I43" s="145">
        <v>356.0</v>
      </c>
      <c r="J43" s="145">
        <v>182.0</v>
      </c>
      <c r="K43" s="145">
        <v>126.0</v>
      </c>
      <c r="L43" s="145" t="s">
        <v>29</v>
      </c>
      <c r="M43" s="145">
        <v>32.0</v>
      </c>
      <c r="N43" s="145">
        <v>157.0</v>
      </c>
      <c r="O43" s="146">
        <v>39.0</v>
      </c>
      <c r="P43" s="145">
        <v>89.0</v>
      </c>
      <c r="Q43" s="145">
        <v>8.0</v>
      </c>
      <c r="R43" s="145">
        <v>0.0</v>
      </c>
      <c r="S43" s="145">
        <v>0.0</v>
      </c>
      <c r="T43" s="147" t="s">
        <v>193</v>
      </c>
      <c r="U43" s="164" t="s">
        <v>575</v>
      </c>
      <c r="V43" s="149" t="s">
        <v>551</v>
      </c>
      <c r="W43" s="164" t="s">
        <v>955</v>
      </c>
      <c r="X43" s="149" t="s">
        <v>954</v>
      </c>
      <c r="Y43" s="147" t="s">
        <v>52</v>
      </c>
      <c r="Z43" s="147" t="s">
        <v>557</v>
      </c>
      <c r="AA43" s="147" t="s">
        <v>11</v>
      </c>
      <c r="AB43" s="147" t="s">
        <v>956</v>
      </c>
      <c r="AC43" s="217">
        <v>1.0</v>
      </c>
      <c r="AD43" s="217">
        <v>2.0</v>
      </c>
      <c r="AE43" s="217">
        <v>1.0</v>
      </c>
      <c r="AF43" s="217">
        <v>1.0</v>
      </c>
    </row>
    <row r="44" ht="15.75" customHeight="1">
      <c r="A44" s="141">
        <v>240.0</v>
      </c>
      <c r="B44" s="142" t="s">
        <v>52</v>
      </c>
      <c r="C44" s="143" t="str">
        <f>HYPERLINK("https://azurlane.koumakan.jp/K%C3%B6ln","Koln")</f>
        <v>Koln</v>
      </c>
      <c r="D44" s="142" t="s">
        <v>40</v>
      </c>
      <c r="E44" s="165">
        <v>3450.0</v>
      </c>
      <c r="F44" s="145">
        <v>155.0</v>
      </c>
      <c r="G44" s="145">
        <v>276.0</v>
      </c>
      <c r="H44" s="145">
        <v>0.0</v>
      </c>
      <c r="I44" s="145">
        <v>341.0</v>
      </c>
      <c r="J44" s="145">
        <v>177.0</v>
      </c>
      <c r="K44" s="145">
        <v>126.0</v>
      </c>
      <c r="L44" s="145" t="s">
        <v>29</v>
      </c>
      <c r="M44" s="145">
        <v>32.0</v>
      </c>
      <c r="N44" s="145">
        <v>157.0</v>
      </c>
      <c r="O44" s="166">
        <v>62.0</v>
      </c>
      <c r="P44" s="145">
        <v>107.0</v>
      </c>
      <c r="Q44" s="145">
        <v>8.0</v>
      </c>
      <c r="R44" s="145">
        <v>0.0</v>
      </c>
      <c r="S44" s="145">
        <v>0.0</v>
      </c>
      <c r="T44" s="147" t="s">
        <v>193</v>
      </c>
      <c r="U44" s="164" t="s">
        <v>575</v>
      </c>
      <c r="V44" s="149" t="s">
        <v>551</v>
      </c>
      <c r="W44" s="149" t="s">
        <v>551</v>
      </c>
      <c r="X44" s="149" t="s">
        <v>954</v>
      </c>
      <c r="Y44" s="147" t="s">
        <v>52</v>
      </c>
      <c r="Z44" s="147" t="s">
        <v>557</v>
      </c>
      <c r="AA44" s="147" t="s">
        <v>11</v>
      </c>
      <c r="AB44" s="147" t="s">
        <v>880</v>
      </c>
      <c r="AC44" s="217">
        <v>1.0</v>
      </c>
      <c r="AD44" s="217">
        <v>2.0</v>
      </c>
      <c r="AE44" s="217">
        <v>1.0</v>
      </c>
      <c r="AF44" s="217">
        <v>1.0</v>
      </c>
    </row>
    <row r="45" ht="15.75" customHeight="1">
      <c r="A45" s="141">
        <v>240.1</v>
      </c>
      <c r="B45" s="142" t="s">
        <v>52</v>
      </c>
      <c r="C45" s="143" t="str">
        <f>HYPERLINK("https://azurlane.koumakan.jp/K%C3%B6ln#Level_120_Retrofit_","Koln (R)")</f>
        <v>Koln (R)</v>
      </c>
      <c r="D45" s="142" t="s">
        <v>36</v>
      </c>
      <c r="E45" s="144">
        <v>3690.0</v>
      </c>
      <c r="F45" s="158">
        <v>175.0</v>
      </c>
      <c r="G45" s="158">
        <v>321.0</v>
      </c>
      <c r="H45" s="158">
        <v>0.0</v>
      </c>
      <c r="I45" s="158">
        <v>356.0</v>
      </c>
      <c r="J45" s="158">
        <v>182.0</v>
      </c>
      <c r="K45" s="158">
        <v>126.0</v>
      </c>
      <c r="L45" s="158" t="s">
        <v>29</v>
      </c>
      <c r="M45" s="158">
        <v>32.0</v>
      </c>
      <c r="N45" s="158">
        <v>157.0</v>
      </c>
      <c r="O45" s="227">
        <v>62.0</v>
      </c>
      <c r="P45" s="158">
        <v>107.0</v>
      </c>
      <c r="Q45" s="158">
        <v>8.0</v>
      </c>
      <c r="R45" s="158">
        <v>0.0</v>
      </c>
      <c r="S45" s="158">
        <v>0.0</v>
      </c>
      <c r="T45" s="147" t="s">
        <v>193</v>
      </c>
      <c r="U45" s="164" t="s">
        <v>575</v>
      </c>
      <c r="V45" s="149" t="s">
        <v>551</v>
      </c>
      <c r="W45" s="164" t="s">
        <v>957</v>
      </c>
      <c r="X45" s="149" t="s">
        <v>954</v>
      </c>
      <c r="Y45" s="147" t="s">
        <v>52</v>
      </c>
      <c r="Z45" s="147" t="s">
        <v>557</v>
      </c>
      <c r="AA45" s="147" t="s">
        <v>11</v>
      </c>
      <c r="AB45" s="147" t="s">
        <v>956</v>
      </c>
      <c r="AC45" s="216">
        <v>1.0</v>
      </c>
      <c r="AD45" s="216">
        <v>2.0</v>
      </c>
      <c r="AE45" s="216">
        <v>1.0</v>
      </c>
      <c r="AF45" s="216">
        <v>1.0</v>
      </c>
    </row>
    <row r="46" ht="15.75" customHeight="1">
      <c r="A46" s="141">
        <v>241.0</v>
      </c>
      <c r="B46" s="142" t="s">
        <v>52</v>
      </c>
      <c r="C46" s="143" t="str">
        <f>HYPERLINK("https://azurlane.koumakan.jp/Leipzig","Leipzig")</f>
        <v>Leipzig</v>
      </c>
      <c r="D46" s="142" t="s">
        <v>36</v>
      </c>
      <c r="E46" s="165">
        <v>3576.0</v>
      </c>
      <c r="F46" s="145">
        <v>150.0</v>
      </c>
      <c r="G46" s="145">
        <v>274.0</v>
      </c>
      <c r="H46" s="145">
        <v>0.0</v>
      </c>
      <c r="I46" s="145">
        <v>354.0</v>
      </c>
      <c r="J46" s="145">
        <v>188.0</v>
      </c>
      <c r="K46" s="145">
        <v>121.0</v>
      </c>
      <c r="L46" s="145" t="s">
        <v>29</v>
      </c>
      <c r="M46" s="145">
        <v>32.0</v>
      </c>
      <c r="N46" s="145">
        <v>163.0</v>
      </c>
      <c r="O46" s="166">
        <v>67.0</v>
      </c>
      <c r="P46" s="145">
        <v>100.0</v>
      </c>
      <c r="Q46" s="145">
        <v>9.0</v>
      </c>
      <c r="R46" s="145">
        <v>0.0</v>
      </c>
      <c r="S46" s="145">
        <v>0.0</v>
      </c>
      <c r="T46" s="147" t="s">
        <v>193</v>
      </c>
      <c r="U46" s="148" t="s">
        <v>958</v>
      </c>
      <c r="V46" s="149" t="s">
        <v>551</v>
      </c>
      <c r="W46" s="149" t="s">
        <v>551</v>
      </c>
      <c r="X46" s="149" t="s">
        <v>959</v>
      </c>
      <c r="Y46" s="147" t="s">
        <v>52</v>
      </c>
      <c r="Z46" s="147" t="s">
        <v>557</v>
      </c>
      <c r="AA46" s="147" t="s">
        <v>11</v>
      </c>
      <c r="AB46" s="147" t="s">
        <v>960</v>
      </c>
      <c r="AC46" s="216">
        <v>1.0</v>
      </c>
      <c r="AD46" s="216">
        <v>2.0</v>
      </c>
      <c r="AE46" s="216">
        <v>1.0</v>
      </c>
      <c r="AF46" s="216">
        <v>1.0</v>
      </c>
    </row>
    <row r="47" ht="15.75" customHeight="1">
      <c r="A47" s="141">
        <v>241.1</v>
      </c>
      <c r="B47" s="142" t="s">
        <v>52</v>
      </c>
      <c r="C47" s="143" t="str">
        <f>HYPERLINK("https://azurlane.koumakan.jp/Leipzig#Retrofit","Leipzig (R)")</f>
        <v>Leipzig (R)</v>
      </c>
      <c r="D47" s="142" t="s">
        <v>28</v>
      </c>
      <c r="E47" s="165">
        <v>3816.0</v>
      </c>
      <c r="F47" s="145">
        <v>170.0</v>
      </c>
      <c r="G47" s="145">
        <v>329.0</v>
      </c>
      <c r="H47" s="145">
        <v>0.0</v>
      </c>
      <c r="I47" s="145">
        <v>394.0</v>
      </c>
      <c r="J47" s="145">
        <v>193.0</v>
      </c>
      <c r="K47" s="145">
        <v>121.0</v>
      </c>
      <c r="L47" s="145" t="s">
        <v>29</v>
      </c>
      <c r="M47" s="145">
        <v>32.0</v>
      </c>
      <c r="N47" s="145">
        <v>163.0</v>
      </c>
      <c r="O47" s="166">
        <v>67.0</v>
      </c>
      <c r="P47" s="145">
        <v>100.0</v>
      </c>
      <c r="Q47" s="145">
        <v>9.0</v>
      </c>
      <c r="R47" s="145">
        <v>0.0</v>
      </c>
      <c r="S47" s="145">
        <v>0.0</v>
      </c>
      <c r="T47" s="147" t="s">
        <v>193</v>
      </c>
      <c r="U47" s="148" t="s">
        <v>958</v>
      </c>
      <c r="V47" s="149" t="s">
        <v>551</v>
      </c>
      <c r="W47" s="161" t="s">
        <v>961</v>
      </c>
      <c r="X47" s="149" t="s">
        <v>959</v>
      </c>
      <c r="Y47" s="147" t="s">
        <v>52</v>
      </c>
      <c r="Z47" s="147" t="s">
        <v>557</v>
      </c>
      <c r="AA47" s="147" t="s">
        <v>11</v>
      </c>
      <c r="AB47" s="147" t="s">
        <v>962</v>
      </c>
      <c r="AC47" s="217">
        <v>1.0</v>
      </c>
      <c r="AD47" s="217">
        <v>2.0</v>
      </c>
      <c r="AE47" s="217">
        <v>1.0</v>
      </c>
      <c r="AF47" s="217">
        <v>1.0</v>
      </c>
    </row>
    <row r="48" ht="15.75" customHeight="1">
      <c r="A48" s="141">
        <v>257.0</v>
      </c>
      <c r="B48" s="142" t="s">
        <v>52</v>
      </c>
      <c r="C48" s="143" t="str">
        <f>HYPERLINK("https://azurlane.koumakan.jp/Yat_Sen","Yat Sen")</f>
        <v>Yat Sen</v>
      </c>
      <c r="D48" s="142" t="s">
        <v>28</v>
      </c>
      <c r="E48" s="165">
        <v>1928.0</v>
      </c>
      <c r="F48" s="145">
        <v>122.0</v>
      </c>
      <c r="G48" s="145">
        <v>0.0</v>
      </c>
      <c r="H48" s="145">
        <v>0.0</v>
      </c>
      <c r="I48" s="145">
        <v>354.0</v>
      </c>
      <c r="J48" s="145">
        <v>185.0</v>
      </c>
      <c r="K48" s="145">
        <v>93.0</v>
      </c>
      <c r="L48" s="145" t="s">
        <v>29</v>
      </c>
      <c r="M48" s="145">
        <v>19.0</v>
      </c>
      <c r="N48" s="145">
        <v>150.0</v>
      </c>
      <c r="O48" s="166">
        <v>64.0</v>
      </c>
      <c r="P48" s="145">
        <v>56.0</v>
      </c>
      <c r="Q48" s="145">
        <v>10.0</v>
      </c>
      <c r="R48" s="145">
        <v>0.0</v>
      </c>
      <c r="S48" s="145">
        <v>0.0</v>
      </c>
      <c r="T48" s="147" t="s">
        <v>206</v>
      </c>
      <c r="U48" s="148" t="s">
        <v>963</v>
      </c>
      <c r="V48" s="164" t="s">
        <v>964</v>
      </c>
      <c r="W48" s="149" t="s">
        <v>551</v>
      </c>
      <c r="X48" s="149" t="s">
        <v>965</v>
      </c>
      <c r="Y48" s="147" t="s">
        <v>52</v>
      </c>
      <c r="Z48" s="147" t="s">
        <v>52</v>
      </c>
      <c r="AA48" s="147" t="s">
        <v>11</v>
      </c>
      <c r="AB48" s="147" t="s">
        <v>966</v>
      </c>
      <c r="AC48" s="217">
        <v>2.0</v>
      </c>
      <c r="AD48" s="217">
        <v>0.0</v>
      </c>
      <c r="AE48" s="217">
        <v>0.0</v>
      </c>
      <c r="AF48" s="217">
        <v>1.0</v>
      </c>
    </row>
    <row r="49" ht="15.75" customHeight="1">
      <c r="A49" s="141">
        <v>258.0</v>
      </c>
      <c r="B49" s="142" t="s">
        <v>52</v>
      </c>
      <c r="C49" s="143" t="str">
        <f>HYPERLINK("https://azurlane.koumakan.jp/Ning_Hai","Ning Hai")</f>
        <v>Ning Hai</v>
      </c>
      <c r="D49" s="142" t="s">
        <v>28</v>
      </c>
      <c r="E49" s="165">
        <v>2028.0</v>
      </c>
      <c r="F49" s="145">
        <v>148.0</v>
      </c>
      <c r="G49" s="145">
        <v>237.0</v>
      </c>
      <c r="H49" s="145">
        <v>0.0</v>
      </c>
      <c r="I49" s="145">
        <v>295.0</v>
      </c>
      <c r="J49" s="145">
        <v>185.0</v>
      </c>
      <c r="K49" s="145">
        <v>88.0</v>
      </c>
      <c r="L49" s="145" t="s">
        <v>29</v>
      </c>
      <c r="M49" s="145">
        <v>23.0</v>
      </c>
      <c r="N49" s="145">
        <v>156.0</v>
      </c>
      <c r="O49" s="166">
        <v>51.0</v>
      </c>
      <c r="P49" s="145">
        <v>77.0</v>
      </c>
      <c r="Q49" s="145">
        <v>10.0</v>
      </c>
      <c r="R49" s="145">
        <v>0.0</v>
      </c>
      <c r="S49" s="145">
        <v>0.0</v>
      </c>
      <c r="T49" s="147" t="s">
        <v>206</v>
      </c>
      <c r="U49" s="148" t="s">
        <v>967</v>
      </c>
      <c r="V49" s="164" t="s">
        <v>964</v>
      </c>
      <c r="W49" s="149" t="s">
        <v>551</v>
      </c>
      <c r="X49" s="149" t="s">
        <v>968</v>
      </c>
      <c r="Y49" s="147" t="s">
        <v>52</v>
      </c>
      <c r="Z49" s="147" t="s">
        <v>557</v>
      </c>
      <c r="AA49" s="147" t="s">
        <v>11</v>
      </c>
      <c r="AB49" s="147" t="s">
        <v>928</v>
      </c>
      <c r="AC49" s="216">
        <v>1.0</v>
      </c>
      <c r="AD49" s="216">
        <v>2.0</v>
      </c>
      <c r="AE49" s="216">
        <v>1.0</v>
      </c>
      <c r="AF49" s="216">
        <v>1.0</v>
      </c>
    </row>
    <row r="50" ht="15.75" customHeight="1">
      <c r="A50" s="141">
        <v>258.1</v>
      </c>
      <c r="B50" s="142" t="s">
        <v>52</v>
      </c>
      <c r="C50" s="143" t="str">
        <f>HYPERLINK("https://azurlane.koumakan.jp/Ning_Hai#Retrofit","Ning Hai (R)")</f>
        <v>Ning Hai (R)</v>
      </c>
      <c r="D50" s="142" t="s">
        <v>32</v>
      </c>
      <c r="E50" s="144">
        <v>2238.0</v>
      </c>
      <c r="F50" s="145">
        <v>203.0</v>
      </c>
      <c r="G50" s="145">
        <v>237.0</v>
      </c>
      <c r="H50" s="145">
        <v>0.0</v>
      </c>
      <c r="I50" s="145">
        <v>310.0</v>
      </c>
      <c r="J50" s="145">
        <v>190.0</v>
      </c>
      <c r="K50" s="145">
        <v>123.0</v>
      </c>
      <c r="L50" s="145" t="s">
        <v>29</v>
      </c>
      <c r="M50" s="145">
        <v>23.0</v>
      </c>
      <c r="N50" s="145">
        <v>156.0</v>
      </c>
      <c r="O50" s="146">
        <v>51.0</v>
      </c>
      <c r="P50" s="145">
        <v>77.0</v>
      </c>
      <c r="Q50" s="145">
        <v>10.0</v>
      </c>
      <c r="R50" s="145">
        <v>0.0</v>
      </c>
      <c r="S50" s="145">
        <v>0.0</v>
      </c>
      <c r="T50" s="147" t="s">
        <v>206</v>
      </c>
      <c r="U50" s="148" t="s">
        <v>967</v>
      </c>
      <c r="V50" s="164" t="s">
        <v>964</v>
      </c>
      <c r="W50" s="164" t="s">
        <v>969</v>
      </c>
      <c r="X50" s="149" t="s">
        <v>968</v>
      </c>
      <c r="Y50" s="147" t="s">
        <v>52</v>
      </c>
      <c r="Z50" s="147" t="s">
        <v>557</v>
      </c>
      <c r="AA50" s="147" t="s">
        <v>11</v>
      </c>
      <c r="AB50" s="147" t="s">
        <v>970</v>
      </c>
      <c r="AC50" s="216">
        <v>1.0</v>
      </c>
      <c r="AD50" s="216">
        <v>2.0</v>
      </c>
      <c r="AE50" s="216">
        <v>1.0</v>
      </c>
      <c r="AF50" s="216">
        <v>1.0</v>
      </c>
    </row>
    <row r="51" ht="15.75" customHeight="1">
      <c r="A51" s="141">
        <v>259.0</v>
      </c>
      <c r="B51" s="142" t="s">
        <v>52</v>
      </c>
      <c r="C51" s="143" t="str">
        <f>HYPERLINK("https://azurlane.koumakan.jp/Ping_Hai","Ping Hai")</f>
        <v>Ping Hai</v>
      </c>
      <c r="D51" s="142" t="s">
        <v>28</v>
      </c>
      <c r="E51" s="165">
        <v>1995.0</v>
      </c>
      <c r="F51" s="145">
        <v>148.0</v>
      </c>
      <c r="G51" s="145">
        <v>237.0</v>
      </c>
      <c r="H51" s="145">
        <v>0.0</v>
      </c>
      <c r="I51" s="145">
        <v>263.0</v>
      </c>
      <c r="J51" s="145">
        <v>185.0</v>
      </c>
      <c r="K51" s="145">
        <v>85.0</v>
      </c>
      <c r="L51" s="145" t="s">
        <v>29</v>
      </c>
      <c r="M51" s="145">
        <v>21.0</v>
      </c>
      <c r="N51" s="145">
        <v>159.0</v>
      </c>
      <c r="O51" s="166">
        <v>47.0</v>
      </c>
      <c r="P51" s="145">
        <v>77.0</v>
      </c>
      <c r="Q51" s="145">
        <v>10.0</v>
      </c>
      <c r="R51" s="145">
        <v>0.0</v>
      </c>
      <c r="S51" s="145">
        <v>0.0</v>
      </c>
      <c r="T51" s="147" t="s">
        <v>206</v>
      </c>
      <c r="U51" s="148" t="s">
        <v>967</v>
      </c>
      <c r="V51" s="164" t="s">
        <v>964</v>
      </c>
      <c r="W51" s="149" t="s">
        <v>551</v>
      </c>
      <c r="X51" s="149" t="s">
        <v>968</v>
      </c>
      <c r="Y51" s="147" t="s">
        <v>52</v>
      </c>
      <c r="Z51" s="147" t="s">
        <v>557</v>
      </c>
      <c r="AA51" s="147" t="s">
        <v>11</v>
      </c>
      <c r="AB51" s="147" t="s">
        <v>928</v>
      </c>
      <c r="AC51" s="217">
        <v>1.0</v>
      </c>
      <c r="AD51" s="217">
        <v>2.0</v>
      </c>
      <c r="AE51" s="217">
        <v>1.0</v>
      </c>
      <c r="AF51" s="217">
        <v>1.0</v>
      </c>
    </row>
    <row r="52" ht="15.75" customHeight="1">
      <c r="A52" s="141">
        <v>259.1</v>
      </c>
      <c r="B52" s="142" t="s">
        <v>52</v>
      </c>
      <c r="C52" s="143" t="str">
        <f>HYPERLINK("https://azurlane.koumakan.jp/Ping_Hai#Retrofit","Ping Hai (R)")</f>
        <v>Ping Hai (R)</v>
      </c>
      <c r="D52" s="142" t="s">
        <v>32</v>
      </c>
      <c r="E52" s="144">
        <v>2205.0</v>
      </c>
      <c r="F52" s="145">
        <v>203.0</v>
      </c>
      <c r="G52" s="145">
        <v>237.0</v>
      </c>
      <c r="H52" s="145">
        <v>0.0</v>
      </c>
      <c r="I52" s="145">
        <v>278.0</v>
      </c>
      <c r="J52" s="145">
        <v>190.0</v>
      </c>
      <c r="K52" s="145">
        <v>120.0</v>
      </c>
      <c r="L52" s="145" t="s">
        <v>29</v>
      </c>
      <c r="M52" s="145">
        <v>21.0</v>
      </c>
      <c r="N52" s="145">
        <v>159.0</v>
      </c>
      <c r="O52" s="146">
        <v>47.0</v>
      </c>
      <c r="P52" s="145">
        <v>77.0</v>
      </c>
      <c r="Q52" s="145">
        <v>10.0</v>
      </c>
      <c r="R52" s="145">
        <v>0.0</v>
      </c>
      <c r="S52" s="145">
        <v>0.0</v>
      </c>
      <c r="T52" s="147" t="s">
        <v>206</v>
      </c>
      <c r="U52" s="148" t="s">
        <v>967</v>
      </c>
      <c r="V52" s="164" t="s">
        <v>964</v>
      </c>
      <c r="W52" s="164" t="s">
        <v>969</v>
      </c>
      <c r="X52" s="149" t="s">
        <v>968</v>
      </c>
      <c r="Y52" s="147" t="s">
        <v>52</v>
      </c>
      <c r="Z52" s="147" t="s">
        <v>557</v>
      </c>
      <c r="AA52" s="147" t="s">
        <v>11</v>
      </c>
      <c r="AB52" s="147" t="s">
        <v>970</v>
      </c>
      <c r="AC52" s="217">
        <v>1.0</v>
      </c>
      <c r="AD52" s="217">
        <v>2.0</v>
      </c>
      <c r="AE52" s="217">
        <v>1.0</v>
      </c>
      <c r="AF52" s="217">
        <v>1.0</v>
      </c>
    </row>
    <row r="53" ht="15.75" customHeight="1">
      <c r="A53" s="141">
        <v>262.0</v>
      </c>
      <c r="B53" s="142" t="s">
        <v>52</v>
      </c>
      <c r="C53" s="143" t="str">
        <f>HYPERLINK("https://azurlane.koumakan.jp/Avrora","Avrora")</f>
        <v>Avrora</v>
      </c>
      <c r="D53" s="142" t="s">
        <v>32</v>
      </c>
      <c r="E53" s="165">
        <v>3450.0</v>
      </c>
      <c r="F53" s="145">
        <v>106.0</v>
      </c>
      <c r="G53" s="145">
        <v>226.0</v>
      </c>
      <c r="H53" s="145">
        <v>0.0</v>
      </c>
      <c r="I53" s="145">
        <v>163.0</v>
      </c>
      <c r="J53" s="145">
        <v>152.0</v>
      </c>
      <c r="K53" s="145">
        <v>93.0</v>
      </c>
      <c r="L53" s="145" t="s">
        <v>71</v>
      </c>
      <c r="M53" s="145">
        <v>19.0</v>
      </c>
      <c r="N53" s="145">
        <v>134.0</v>
      </c>
      <c r="O53" s="166">
        <v>55.0</v>
      </c>
      <c r="P53" s="145">
        <v>58.0</v>
      </c>
      <c r="Q53" s="145">
        <v>11.0</v>
      </c>
      <c r="R53" s="145">
        <v>0.0</v>
      </c>
      <c r="S53" s="145">
        <v>0.0</v>
      </c>
      <c r="T53" s="147" t="s">
        <v>212</v>
      </c>
      <c r="U53" s="148" t="s">
        <v>971</v>
      </c>
      <c r="V53" s="149" t="s">
        <v>551</v>
      </c>
      <c r="W53" s="149" t="s">
        <v>551</v>
      </c>
      <c r="X53" s="149" t="s">
        <v>972</v>
      </c>
      <c r="Y53" s="147" t="s">
        <v>52</v>
      </c>
      <c r="Z53" s="147" t="s">
        <v>557</v>
      </c>
      <c r="AA53" s="147" t="s">
        <v>11</v>
      </c>
      <c r="AB53" s="147" t="s">
        <v>973</v>
      </c>
      <c r="AC53" s="228">
        <v>2.0</v>
      </c>
      <c r="AD53" s="228">
        <v>1.0</v>
      </c>
      <c r="AE53" s="228">
        <v>0.0</v>
      </c>
      <c r="AF53" s="216">
        <v>1.0</v>
      </c>
    </row>
    <row r="54" ht="15.75" customHeight="1">
      <c r="A54" s="141">
        <v>303.0</v>
      </c>
      <c r="B54" s="142" t="s">
        <v>52</v>
      </c>
      <c r="C54" s="143" t="str">
        <f>HYPERLINK("https://azurlane.koumakan.jp/Richmond","Richmond")</f>
        <v>Richmond</v>
      </c>
      <c r="D54" s="142" t="s">
        <v>40</v>
      </c>
      <c r="E54" s="165">
        <v>3312.0</v>
      </c>
      <c r="F54" s="145">
        <v>144.0</v>
      </c>
      <c r="G54" s="145">
        <v>210.0</v>
      </c>
      <c r="H54" s="145">
        <v>0.0</v>
      </c>
      <c r="I54" s="145">
        <v>287.0</v>
      </c>
      <c r="J54" s="145">
        <v>185.0</v>
      </c>
      <c r="K54" s="145">
        <v>127.0</v>
      </c>
      <c r="L54" s="145" t="s">
        <v>29</v>
      </c>
      <c r="M54" s="145">
        <v>35.0</v>
      </c>
      <c r="N54" s="145">
        <v>156.0</v>
      </c>
      <c r="O54" s="166">
        <v>69.0</v>
      </c>
      <c r="P54" s="145">
        <v>94.0</v>
      </c>
      <c r="Q54" s="145">
        <v>8.0</v>
      </c>
      <c r="R54" s="145">
        <v>0.0</v>
      </c>
      <c r="S54" s="145">
        <v>0.0</v>
      </c>
      <c r="T54" s="147" t="s">
        <v>37</v>
      </c>
      <c r="U54" s="148" t="s">
        <v>881</v>
      </c>
      <c r="V54" s="149" t="s">
        <v>551</v>
      </c>
      <c r="W54" s="149" t="s">
        <v>551</v>
      </c>
      <c r="X54" s="149" t="s">
        <v>879</v>
      </c>
      <c r="Y54" s="147" t="s">
        <v>52</v>
      </c>
      <c r="Z54" s="147" t="s">
        <v>557</v>
      </c>
      <c r="AA54" s="147" t="s">
        <v>11</v>
      </c>
      <c r="AB54" s="147" t="s">
        <v>880</v>
      </c>
      <c r="AC54" s="217">
        <v>1.0</v>
      </c>
      <c r="AD54" s="217">
        <v>2.0</v>
      </c>
      <c r="AE54" s="217">
        <v>1.0</v>
      </c>
      <c r="AF54" s="217">
        <v>1.0</v>
      </c>
    </row>
    <row r="55" ht="15.75" customHeight="1">
      <c r="A55" s="141">
        <v>304.0</v>
      </c>
      <c r="B55" s="142" t="s">
        <v>52</v>
      </c>
      <c r="C55" s="143" t="str">
        <f>HYPERLINK("https://azurlane.koumakan.jp/Honolulu","Honolulu")</f>
        <v>Honolulu</v>
      </c>
      <c r="D55" s="142" t="s">
        <v>36</v>
      </c>
      <c r="E55" s="165">
        <v>3550.0</v>
      </c>
      <c r="F55" s="145">
        <v>166.0</v>
      </c>
      <c r="G55" s="145">
        <v>0.0</v>
      </c>
      <c r="H55" s="145">
        <v>0.0</v>
      </c>
      <c r="I55" s="145">
        <v>313.0</v>
      </c>
      <c r="J55" s="145">
        <v>183.0</v>
      </c>
      <c r="K55" s="145">
        <v>106.0</v>
      </c>
      <c r="L55" s="145" t="s">
        <v>29</v>
      </c>
      <c r="M55" s="145">
        <v>32.0</v>
      </c>
      <c r="N55" s="145">
        <v>162.0</v>
      </c>
      <c r="O55" s="166">
        <v>50.0</v>
      </c>
      <c r="P55" s="145">
        <v>100.0</v>
      </c>
      <c r="Q55" s="145">
        <v>9.0</v>
      </c>
      <c r="R55" s="145">
        <v>0.0</v>
      </c>
      <c r="S55" s="145">
        <v>0.0</v>
      </c>
      <c r="T55" s="147" t="s">
        <v>37</v>
      </c>
      <c r="U55" s="164" t="s">
        <v>575</v>
      </c>
      <c r="V55" s="149" t="s">
        <v>551</v>
      </c>
      <c r="W55" s="149" t="s">
        <v>551</v>
      </c>
      <c r="X55" s="149" t="s">
        <v>882</v>
      </c>
      <c r="Y55" s="147" t="s">
        <v>52</v>
      </c>
      <c r="Z55" s="147" t="s">
        <v>27</v>
      </c>
      <c r="AA55" s="147" t="s">
        <v>11</v>
      </c>
      <c r="AB55" s="147" t="s">
        <v>883</v>
      </c>
      <c r="AC55" s="216">
        <v>2.0</v>
      </c>
      <c r="AD55" s="216">
        <v>0.0</v>
      </c>
      <c r="AE55" s="216">
        <v>0.0</v>
      </c>
      <c r="AF55" s="216">
        <v>1.0</v>
      </c>
    </row>
    <row r="56" ht="15.75" customHeight="1">
      <c r="A56" s="141">
        <v>305.0</v>
      </c>
      <c r="B56" s="142" t="s">
        <v>52</v>
      </c>
      <c r="C56" s="143" t="str">
        <f>HYPERLINK("https://azurlane.koumakan.jp/St._Louis","St. Louis")</f>
        <v>St. Louis</v>
      </c>
      <c r="D56" s="142" t="s">
        <v>28</v>
      </c>
      <c r="E56" s="165">
        <v>3688.0</v>
      </c>
      <c r="F56" s="145">
        <v>174.0</v>
      </c>
      <c r="G56" s="145">
        <v>0.0</v>
      </c>
      <c r="H56" s="145">
        <v>0.0</v>
      </c>
      <c r="I56" s="145">
        <v>323.0</v>
      </c>
      <c r="J56" s="145">
        <v>188.0</v>
      </c>
      <c r="K56" s="145">
        <v>106.0</v>
      </c>
      <c r="L56" s="145" t="s">
        <v>29</v>
      </c>
      <c r="M56" s="145">
        <v>32.0</v>
      </c>
      <c r="N56" s="145">
        <v>170.0</v>
      </c>
      <c r="O56" s="166">
        <v>65.0</v>
      </c>
      <c r="P56" s="145">
        <v>102.0</v>
      </c>
      <c r="Q56" s="145">
        <v>10.0</v>
      </c>
      <c r="R56" s="145">
        <v>0.0</v>
      </c>
      <c r="S56" s="145">
        <v>0.0</v>
      </c>
      <c r="T56" s="147" t="s">
        <v>37</v>
      </c>
      <c r="U56" s="164" t="s">
        <v>974</v>
      </c>
      <c r="V56" s="161" t="s">
        <v>590</v>
      </c>
      <c r="W56" s="149" t="s">
        <v>551</v>
      </c>
      <c r="X56" s="149" t="s">
        <v>882</v>
      </c>
      <c r="Y56" s="147" t="s">
        <v>52</v>
      </c>
      <c r="Z56" s="147" t="s">
        <v>27</v>
      </c>
      <c r="AA56" s="147" t="s">
        <v>11</v>
      </c>
      <c r="AB56" s="147" t="s">
        <v>883</v>
      </c>
      <c r="AC56" s="217">
        <v>2.0</v>
      </c>
      <c r="AD56" s="217">
        <v>0.0</v>
      </c>
      <c r="AE56" s="217">
        <v>0.0</v>
      </c>
      <c r="AF56" s="217">
        <v>1.0</v>
      </c>
    </row>
    <row r="57" ht="15.75" customHeight="1">
      <c r="A57" s="141">
        <v>308.0</v>
      </c>
      <c r="B57" s="142" t="s">
        <v>52</v>
      </c>
      <c r="C57" s="143" t="str">
        <f>HYPERLINK("https://azurlane.koumakan.jp/Sendai","Sendai")</f>
        <v>Sendai</v>
      </c>
      <c r="D57" s="142" t="s">
        <v>36</v>
      </c>
      <c r="E57" s="165">
        <v>2599.0</v>
      </c>
      <c r="F57" s="145">
        <v>152.0</v>
      </c>
      <c r="G57" s="145">
        <v>330.0</v>
      </c>
      <c r="H57" s="145">
        <v>0.0</v>
      </c>
      <c r="I57" s="145">
        <v>282.0</v>
      </c>
      <c r="J57" s="145">
        <v>188.0</v>
      </c>
      <c r="K57" s="145">
        <v>128.0</v>
      </c>
      <c r="L57" s="145" t="s">
        <v>29</v>
      </c>
      <c r="M57" s="145">
        <v>35.0</v>
      </c>
      <c r="N57" s="145">
        <v>156.0</v>
      </c>
      <c r="O57" s="166">
        <v>42.0</v>
      </c>
      <c r="P57" s="145">
        <v>109.0</v>
      </c>
      <c r="Q57" s="145">
        <v>9.0</v>
      </c>
      <c r="R57" s="145">
        <v>0.0</v>
      </c>
      <c r="S57" s="145">
        <v>0.0</v>
      </c>
      <c r="T57" s="170" t="s">
        <v>143</v>
      </c>
      <c r="U57" s="148" t="s">
        <v>975</v>
      </c>
      <c r="V57" s="149" t="s">
        <v>551</v>
      </c>
      <c r="W57" s="149" t="s">
        <v>551</v>
      </c>
      <c r="X57" s="149" t="s">
        <v>976</v>
      </c>
      <c r="Y57" s="147" t="s">
        <v>52</v>
      </c>
      <c r="Z57" s="147" t="s">
        <v>557</v>
      </c>
      <c r="AA57" s="147" t="s">
        <v>11</v>
      </c>
      <c r="AB57" s="147" t="s">
        <v>977</v>
      </c>
      <c r="AC57" s="216">
        <v>1.0</v>
      </c>
      <c r="AD57" s="216">
        <v>2.0</v>
      </c>
      <c r="AE57" s="216">
        <v>1.0</v>
      </c>
      <c r="AF57" s="216">
        <v>1.0</v>
      </c>
    </row>
    <row r="58" ht="15.75" customHeight="1">
      <c r="A58" s="141">
        <v>308.1</v>
      </c>
      <c r="B58" s="142" t="s">
        <v>52</v>
      </c>
      <c r="C58" s="143" t="str">
        <f>HYPERLINK("https://azurlane.koumakan.jp/Sendai#Retrofit","Sendai (R)")</f>
        <v>Sendai (R)</v>
      </c>
      <c r="D58" s="142" t="s">
        <v>28</v>
      </c>
      <c r="E58" s="144">
        <v>2839.0</v>
      </c>
      <c r="F58" s="145">
        <v>172.0</v>
      </c>
      <c r="G58" s="145">
        <v>395.0</v>
      </c>
      <c r="H58" s="145">
        <v>0.0</v>
      </c>
      <c r="I58" s="145">
        <v>282.0</v>
      </c>
      <c r="J58" s="145">
        <v>193.0</v>
      </c>
      <c r="K58" s="145">
        <v>128.0</v>
      </c>
      <c r="L58" s="145" t="s">
        <v>29</v>
      </c>
      <c r="M58" s="145">
        <v>35.0</v>
      </c>
      <c r="N58" s="145">
        <v>156.0</v>
      </c>
      <c r="O58" s="146">
        <v>42.0</v>
      </c>
      <c r="P58" s="145">
        <v>109.0</v>
      </c>
      <c r="Q58" s="145">
        <v>9.0</v>
      </c>
      <c r="R58" s="145">
        <v>0.0</v>
      </c>
      <c r="S58" s="145">
        <v>0.0</v>
      </c>
      <c r="T58" s="147" t="s">
        <v>143</v>
      </c>
      <c r="U58" s="148" t="s">
        <v>975</v>
      </c>
      <c r="V58" s="149" t="s">
        <v>551</v>
      </c>
      <c r="W58" s="148" t="s">
        <v>978</v>
      </c>
      <c r="X58" s="149" t="s">
        <v>976</v>
      </c>
      <c r="Y58" s="147" t="s">
        <v>52</v>
      </c>
      <c r="Z58" s="147" t="s">
        <v>557</v>
      </c>
      <c r="AA58" s="147" t="s">
        <v>11</v>
      </c>
      <c r="AB58" s="147" t="s">
        <v>979</v>
      </c>
      <c r="AC58" s="216">
        <v>1.0</v>
      </c>
      <c r="AD58" s="216">
        <v>2.0</v>
      </c>
      <c r="AE58" s="216">
        <v>1.0</v>
      </c>
      <c r="AF58" s="216">
        <v>1.0</v>
      </c>
    </row>
    <row r="59" ht="15.75" customHeight="1">
      <c r="A59" s="141">
        <v>309.0</v>
      </c>
      <c r="B59" s="142" t="s">
        <v>52</v>
      </c>
      <c r="C59" s="143" t="str">
        <f>HYPERLINK("https://azurlane.koumakan.jp/Jintsuu","Jintsuu")</f>
        <v>Jintsuu</v>
      </c>
      <c r="D59" s="142" t="s">
        <v>28</v>
      </c>
      <c r="E59" s="165">
        <v>2676.0</v>
      </c>
      <c r="F59" s="145">
        <v>158.0</v>
      </c>
      <c r="G59" s="145">
        <v>341.0</v>
      </c>
      <c r="H59" s="145">
        <v>0.0</v>
      </c>
      <c r="I59" s="145">
        <v>291.0</v>
      </c>
      <c r="J59" s="145">
        <v>194.0</v>
      </c>
      <c r="K59" s="145">
        <v>128.0</v>
      </c>
      <c r="L59" s="145" t="s">
        <v>29</v>
      </c>
      <c r="M59" s="145">
        <v>35.0</v>
      </c>
      <c r="N59" s="145">
        <v>156.0</v>
      </c>
      <c r="O59" s="166">
        <v>38.0</v>
      </c>
      <c r="P59" s="145">
        <v>101.0</v>
      </c>
      <c r="Q59" s="145">
        <v>10.0</v>
      </c>
      <c r="R59" s="145">
        <v>0.0</v>
      </c>
      <c r="S59" s="145">
        <v>0.0</v>
      </c>
      <c r="T59" s="147" t="s">
        <v>143</v>
      </c>
      <c r="U59" s="148" t="s">
        <v>980</v>
      </c>
      <c r="V59" s="149" t="s">
        <v>551</v>
      </c>
      <c r="W59" s="149" t="s">
        <v>551</v>
      </c>
      <c r="X59" s="149" t="s">
        <v>976</v>
      </c>
      <c r="Y59" s="147" t="s">
        <v>52</v>
      </c>
      <c r="Z59" s="147" t="s">
        <v>557</v>
      </c>
      <c r="AA59" s="147" t="s">
        <v>11</v>
      </c>
      <c r="AB59" s="147" t="s">
        <v>977</v>
      </c>
      <c r="AC59" s="217">
        <v>1.0</v>
      </c>
      <c r="AD59" s="217">
        <v>2.0</v>
      </c>
      <c r="AE59" s="217">
        <v>1.0</v>
      </c>
      <c r="AF59" s="217">
        <v>1.0</v>
      </c>
    </row>
    <row r="60" ht="15.75" customHeight="1">
      <c r="A60" s="141">
        <v>309.1</v>
      </c>
      <c r="B60" s="142" t="s">
        <v>52</v>
      </c>
      <c r="C60" s="143" t="str">
        <f>HYPERLINK("https://azurlane.koumakan.jp/Jintsuu#Retrofit","Jintsuu (R)")</f>
        <v>Jintsuu (R)</v>
      </c>
      <c r="D60" s="142" t="s">
        <v>32</v>
      </c>
      <c r="E60" s="144">
        <v>2916.0</v>
      </c>
      <c r="F60" s="145">
        <v>178.0</v>
      </c>
      <c r="G60" s="168">
        <v>406.0</v>
      </c>
      <c r="H60" s="145">
        <v>0.0</v>
      </c>
      <c r="I60" s="145">
        <v>306.0</v>
      </c>
      <c r="J60" s="145">
        <v>199.0</v>
      </c>
      <c r="K60" s="145">
        <v>128.0</v>
      </c>
      <c r="L60" s="145" t="s">
        <v>29</v>
      </c>
      <c r="M60" s="145">
        <v>35.0</v>
      </c>
      <c r="N60" s="145">
        <v>156.0</v>
      </c>
      <c r="O60" s="146">
        <v>38.0</v>
      </c>
      <c r="P60" s="145">
        <v>101.0</v>
      </c>
      <c r="Q60" s="145">
        <v>10.0</v>
      </c>
      <c r="R60" s="145">
        <v>0.0</v>
      </c>
      <c r="S60" s="145">
        <v>0.0</v>
      </c>
      <c r="T60" s="147" t="s">
        <v>143</v>
      </c>
      <c r="U60" s="148" t="s">
        <v>980</v>
      </c>
      <c r="V60" s="149" t="s">
        <v>551</v>
      </c>
      <c r="W60" s="148" t="s">
        <v>981</v>
      </c>
      <c r="X60" s="164" t="s">
        <v>976</v>
      </c>
      <c r="Y60" s="147" t="s">
        <v>52</v>
      </c>
      <c r="Z60" s="147" t="s">
        <v>557</v>
      </c>
      <c r="AA60" s="147" t="s">
        <v>11</v>
      </c>
      <c r="AB60" s="147" t="s">
        <v>982</v>
      </c>
      <c r="AC60" s="217">
        <v>1.0</v>
      </c>
      <c r="AD60" s="217">
        <v>2.0</v>
      </c>
      <c r="AE60" s="217">
        <v>1.0</v>
      </c>
      <c r="AF60" s="217">
        <v>1.0</v>
      </c>
    </row>
    <row r="61">
      <c r="A61" s="141">
        <v>310.0</v>
      </c>
      <c r="B61" s="142" t="s">
        <v>52</v>
      </c>
      <c r="C61" s="143" t="str">
        <f>HYPERLINK("https://azurlane.koumakan.jp/Naka","Naka")</f>
        <v>Naka</v>
      </c>
      <c r="D61" s="142" t="s">
        <v>36</v>
      </c>
      <c r="E61" s="165">
        <v>2599.0</v>
      </c>
      <c r="F61" s="145">
        <v>153.0</v>
      </c>
      <c r="G61" s="145">
        <v>341.0</v>
      </c>
      <c r="H61" s="145">
        <v>0.0</v>
      </c>
      <c r="I61" s="145">
        <v>292.0</v>
      </c>
      <c r="J61" s="145">
        <v>188.0</v>
      </c>
      <c r="K61" s="145">
        <v>128.0</v>
      </c>
      <c r="L61" s="145" t="s">
        <v>29</v>
      </c>
      <c r="M61" s="145">
        <v>35.0</v>
      </c>
      <c r="N61" s="145">
        <v>156.0</v>
      </c>
      <c r="O61" s="166">
        <v>53.0</v>
      </c>
      <c r="P61" s="145">
        <v>105.0</v>
      </c>
      <c r="Q61" s="145">
        <v>9.0</v>
      </c>
      <c r="R61" s="145">
        <v>0.0</v>
      </c>
      <c r="S61" s="145">
        <v>0.0</v>
      </c>
      <c r="T61" s="147" t="s">
        <v>143</v>
      </c>
      <c r="U61" s="148" t="s">
        <v>975</v>
      </c>
      <c r="V61" s="149" t="s">
        <v>551</v>
      </c>
      <c r="W61" s="149" t="s">
        <v>551</v>
      </c>
      <c r="X61" s="149" t="s">
        <v>976</v>
      </c>
      <c r="Y61" s="147" t="s">
        <v>52</v>
      </c>
      <c r="Z61" s="147" t="s">
        <v>557</v>
      </c>
      <c r="AA61" s="147" t="s">
        <v>11</v>
      </c>
      <c r="AB61" s="147" t="s">
        <v>977</v>
      </c>
      <c r="AC61" s="216">
        <v>1.0</v>
      </c>
      <c r="AD61" s="216">
        <v>2.0</v>
      </c>
      <c r="AE61" s="216">
        <v>1.0</v>
      </c>
      <c r="AF61" s="216">
        <v>1.0</v>
      </c>
    </row>
    <row r="62">
      <c r="A62" s="141">
        <v>321.0</v>
      </c>
      <c r="B62" s="142" t="s">
        <v>52</v>
      </c>
      <c r="C62" s="143" t="str">
        <f>HYPERLINK("https://azurlane.koumakan.jp/Agano","Agano")</f>
        <v>Agano</v>
      </c>
      <c r="D62" s="142" t="s">
        <v>28</v>
      </c>
      <c r="E62" s="165">
        <v>3233.0</v>
      </c>
      <c r="F62" s="145">
        <v>150.0</v>
      </c>
      <c r="G62" s="145">
        <v>358.0</v>
      </c>
      <c r="H62" s="145">
        <v>0.0</v>
      </c>
      <c r="I62" s="145">
        <v>330.0</v>
      </c>
      <c r="J62" s="145">
        <v>171.0</v>
      </c>
      <c r="K62" s="145">
        <v>123.0</v>
      </c>
      <c r="L62" s="145" t="s">
        <v>29</v>
      </c>
      <c r="M62" s="145">
        <v>35.0</v>
      </c>
      <c r="N62" s="145">
        <v>152.0</v>
      </c>
      <c r="O62" s="166">
        <v>21.0</v>
      </c>
      <c r="P62" s="145">
        <v>80.0</v>
      </c>
      <c r="Q62" s="145">
        <v>10.0</v>
      </c>
      <c r="R62" s="145">
        <v>0.0</v>
      </c>
      <c r="S62" s="145">
        <v>0.0</v>
      </c>
      <c r="T62" s="147" t="s">
        <v>143</v>
      </c>
      <c r="U62" s="148" t="s">
        <v>585</v>
      </c>
      <c r="V62" s="161" t="s">
        <v>952</v>
      </c>
      <c r="W62" s="149" t="s">
        <v>551</v>
      </c>
      <c r="X62" s="149" t="s">
        <v>983</v>
      </c>
      <c r="Y62" s="147" t="s">
        <v>52</v>
      </c>
      <c r="Z62" s="147" t="s">
        <v>557</v>
      </c>
      <c r="AA62" s="147" t="s">
        <v>11</v>
      </c>
      <c r="AB62" s="147" t="s">
        <v>984</v>
      </c>
      <c r="AC62" s="217">
        <v>1.0</v>
      </c>
      <c r="AD62" s="217">
        <v>2.0</v>
      </c>
      <c r="AE62" s="217">
        <v>1.0</v>
      </c>
      <c r="AF62" s="217">
        <v>1.0</v>
      </c>
    </row>
    <row r="63">
      <c r="A63" s="182">
        <v>322.0</v>
      </c>
      <c r="B63" s="183" t="s">
        <v>52</v>
      </c>
      <c r="C63" s="152" t="str">
        <f>HYPERLINK("https://azurlane.koumakan.jp/Noshiro","Noshiro")</f>
        <v>Noshiro</v>
      </c>
      <c r="D63" s="170" t="s">
        <v>32</v>
      </c>
      <c r="E63" s="191">
        <v>3354.0</v>
      </c>
      <c r="F63" s="170">
        <v>177.0</v>
      </c>
      <c r="G63" s="170">
        <v>378.0</v>
      </c>
      <c r="H63" s="170">
        <v>0.0</v>
      </c>
      <c r="I63" s="170">
        <v>341.0</v>
      </c>
      <c r="J63" s="170">
        <v>183.0</v>
      </c>
      <c r="K63" s="170">
        <v>123.0</v>
      </c>
      <c r="L63" s="170" t="s">
        <v>29</v>
      </c>
      <c r="M63" s="170">
        <v>35.0</v>
      </c>
      <c r="N63" s="170">
        <v>176.0</v>
      </c>
      <c r="O63" s="192">
        <v>55.0</v>
      </c>
      <c r="P63" s="170">
        <v>99.0</v>
      </c>
      <c r="Q63" s="170">
        <v>11.0</v>
      </c>
      <c r="R63" s="170">
        <v>0.0</v>
      </c>
      <c r="S63" s="170">
        <v>0.0</v>
      </c>
      <c r="T63" s="170" t="s">
        <v>143</v>
      </c>
      <c r="U63" s="225" t="s">
        <v>985</v>
      </c>
      <c r="V63" s="229" t="s">
        <v>986</v>
      </c>
      <c r="W63" s="183" t="s">
        <v>551</v>
      </c>
      <c r="X63" s="183" t="s">
        <v>987</v>
      </c>
      <c r="Y63" s="218" t="s">
        <v>52</v>
      </c>
      <c r="Z63" s="218" t="s">
        <v>557</v>
      </c>
      <c r="AA63" s="218" t="s">
        <v>11</v>
      </c>
      <c r="AB63" s="218" t="s">
        <v>988</v>
      </c>
      <c r="AC63" s="218">
        <v>1.0</v>
      </c>
      <c r="AD63" s="218">
        <v>2.0</v>
      </c>
      <c r="AE63" s="218">
        <v>1.0</v>
      </c>
      <c r="AF63" s="218">
        <v>1.0</v>
      </c>
    </row>
    <row r="64">
      <c r="A64" s="141">
        <v>327.0</v>
      </c>
      <c r="B64" s="142" t="s">
        <v>52</v>
      </c>
      <c r="C64" s="143" t="str">
        <f>HYPERLINK("https://azurlane.koumakan.jp/Fiji","Fiji")</f>
        <v>Fiji</v>
      </c>
      <c r="D64" s="142" t="s">
        <v>36</v>
      </c>
      <c r="E64" s="145">
        <v>3670.0</v>
      </c>
      <c r="F64" s="145">
        <v>161.0</v>
      </c>
      <c r="G64" s="145">
        <v>272.0</v>
      </c>
      <c r="H64" s="145">
        <v>0.0</v>
      </c>
      <c r="I64" s="145">
        <v>261.0</v>
      </c>
      <c r="J64" s="145">
        <v>185.0</v>
      </c>
      <c r="K64" s="145">
        <v>119.0</v>
      </c>
      <c r="L64" s="145" t="s">
        <v>29</v>
      </c>
      <c r="M64" s="145">
        <v>32.0</v>
      </c>
      <c r="N64" s="145">
        <v>176.0</v>
      </c>
      <c r="O64" s="145">
        <v>11.0</v>
      </c>
      <c r="P64" s="145">
        <v>119.0</v>
      </c>
      <c r="Q64" s="145">
        <v>9.0</v>
      </c>
      <c r="R64" s="145">
        <v>0.0</v>
      </c>
      <c r="S64" s="145">
        <v>0.0</v>
      </c>
      <c r="T64" s="147" t="s">
        <v>104</v>
      </c>
      <c r="U64" s="161" t="s">
        <v>989</v>
      </c>
      <c r="V64" s="149" t="s">
        <v>551</v>
      </c>
      <c r="W64" s="149" t="s">
        <v>551</v>
      </c>
      <c r="X64" s="149" t="s">
        <v>990</v>
      </c>
      <c r="Y64" s="147" t="s">
        <v>52</v>
      </c>
      <c r="Z64" s="147" t="s">
        <v>557</v>
      </c>
      <c r="AA64" s="147" t="s">
        <v>11</v>
      </c>
      <c r="AB64" s="147" t="s">
        <v>991</v>
      </c>
      <c r="AC64" s="216">
        <v>1.0</v>
      </c>
      <c r="AD64" s="216">
        <v>2.0</v>
      </c>
      <c r="AE64" s="216">
        <v>1.0</v>
      </c>
      <c r="AF64" s="216">
        <v>1.0</v>
      </c>
    </row>
    <row r="65">
      <c r="A65" s="141">
        <v>328.0</v>
      </c>
      <c r="B65" s="142" t="s">
        <v>52</v>
      </c>
      <c r="C65" s="143" t="str">
        <f>HYPERLINK("https://azurlane.koumakan.jp/Jamaica","Jamaica")</f>
        <v>Jamaica</v>
      </c>
      <c r="D65" s="142" t="s">
        <v>36</v>
      </c>
      <c r="E65" s="145">
        <v>3721.0</v>
      </c>
      <c r="F65" s="145">
        <v>160.0</v>
      </c>
      <c r="G65" s="145">
        <v>272.0</v>
      </c>
      <c r="H65" s="145">
        <v>0.0</v>
      </c>
      <c r="I65" s="145">
        <v>336.0</v>
      </c>
      <c r="J65" s="145">
        <v>185.0</v>
      </c>
      <c r="K65" s="145">
        <v>119.0</v>
      </c>
      <c r="L65" s="145" t="s">
        <v>29</v>
      </c>
      <c r="M65" s="145">
        <v>32.0</v>
      </c>
      <c r="N65" s="145">
        <v>175.0</v>
      </c>
      <c r="O65" s="145">
        <v>67.0</v>
      </c>
      <c r="P65" s="145">
        <v>125.0</v>
      </c>
      <c r="Q65" s="145">
        <v>9.0</v>
      </c>
      <c r="R65" s="145">
        <v>0.0</v>
      </c>
      <c r="S65" s="145">
        <v>0.0</v>
      </c>
      <c r="T65" s="147" t="s">
        <v>104</v>
      </c>
      <c r="U65" s="164" t="s">
        <v>992</v>
      </c>
      <c r="V65" s="149" t="s">
        <v>551</v>
      </c>
      <c r="W65" s="149" t="s">
        <v>551</v>
      </c>
      <c r="X65" s="149" t="s">
        <v>990</v>
      </c>
      <c r="Y65" s="147" t="s">
        <v>52</v>
      </c>
      <c r="Z65" s="147" t="s">
        <v>557</v>
      </c>
      <c r="AA65" s="147" t="s">
        <v>11</v>
      </c>
      <c r="AB65" s="147" t="s">
        <v>991</v>
      </c>
      <c r="AC65" s="217">
        <v>1.0</v>
      </c>
      <c r="AD65" s="217">
        <v>2.0</v>
      </c>
      <c r="AE65" s="217">
        <v>1.0</v>
      </c>
      <c r="AF65" s="217">
        <v>1.0</v>
      </c>
    </row>
    <row r="66">
      <c r="A66" s="141">
        <v>329.0</v>
      </c>
      <c r="B66" s="142" t="s">
        <v>52</v>
      </c>
      <c r="C66" s="143" t="str">
        <f>HYPERLINK("https://azurlane.koumakan.jp/Montpelier","Montpelier")</f>
        <v>Montpelier</v>
      </c>
      <c r="D66" s="142" t="s">
        <v>32</v>
      </c>
      <c r="E66" s="145">
        <v>4461.0</v>
      </c>
      <c r="F66" s="145">
        <v>172.0</v>
      </c>
      <c r="G66" s="145">
        <v>0.0</v>
      </c>
      <c r="H66" s="145">
        <v>0.0</v>
      </c>
      <c r="I66" s="145">
        <v>341.0</v>
      </c>
      <c r="J66" s="145">
        <v>196.0</v>
      </c>
      <c r="K66" s="145">
        <v>109.0</v>
      </c>
      <c r="L66" s="145" t="s">
        <v>29</v>
      </c>
      <c r="M66" s="145">
        <v>32.0</v>
      </c>
      <c r="N66" s="145">
        <v>168.0</v>
      </c>
      <c r="O66" s="145">
        <v>72.0</v>
      </c>
      <c r="P66" s="145">
        <v>105.0</v>
      </c>
      <c r="Q66" s="145">
        <v>11.0</v>
      </c>
      <c r="R66" s="145">
        <v>0.0</v>
      </c>
      <c r="S66" s="145">
        <v>0.0</v>
      </c>
      <c r="T66" s="147" t="s">
        <v>37</v>
      </c>
      <c r="U66" s="148" t="s">
        <v>993</v>
      </c>
      <c r="V66" s="161" t="s">
        <v>590</v>
      </c>
      <c r="W66" s="149" t="s">
        <v>551</v>
      </c>
      <c r="X66" s="149" t="s">
        <v>900</v>
      </c>
      <c r="Y66" s="147" t="s">
        <v>52</v>
      </c>
      <c r="Z66" s="147" t="s">
        <v>27</v>
      </c>
      <c r="AA66" s="147" t="s">
        <v>11</v>
      </c>
      <c r="AB66" s="147" t="s">
        <v>994</v>
      </c>
      <c r="AC66" s="216">
        <v>2.0</v>
      </c>
      <c r="AD66" s="216">
        <v>0.0</v>
      </c>
      <c r="AE66" s="216">
        <v>0.0</v>
      </c>
      <c r="AF66" s="216">
        <v>1.0</v>
      </c>
    </row>
    <row r="67">
      <c r="A67" s="141">
        <v>330.0</v>
      </c>
      <c r="B67" s="142" t="s">
        <v>52</v>
      </c>
      <c r="C67" s="143" t="str">
        <f>HYPERLINK("https://azurlane.koumakan.jp/Denver","Denver")</f>
        <v>Denver</v>
      </c>
      <c r="D67" s="142" t="s">
        <v>28</v>
      </c>
      <c r="E67" s="165">
        <v>4406.0</v>
      </c>
      <c r="F67" s="145">
        <v>159.0</v>
      </c>
      <c r="G67" s="145">
        <v>0.0</v>
      </c>
      <c r="H67" s="145">
        <v>0.0</v>
      </c>
      <c r="I67" s="145">
        <v>328.0</v>
      </c>
      <c r="J67" s="145">
        <v>188.0</v>
      </c>
      <c r="K67" s="145">
        <v>109.0</v>
      </c>
      <c r="L67" s="145" t="s">
        <v>29</v>
      </c>
      <c r="M67" s="145">
        <v>32.0</v>
      </c>
      <c r="N67" s="145">
        <v>165.0</v>
      </c>
      <c r="O67" s="166">
        <v>69.0</v>
      </c>
      <c r="P67" s="145">
        <v>102.0</v>
      </c>
      <c r="Q67" s="145">
        <v>10.0</v>
      </c>
      <c r="R67" s="145">
        <v>0.0</v>
      </c>
      <c r="S67" s="145">
        <v>0.0</v>
      </c>
      <c r="T67" s="147" t="s">
        <v>37</v>
      </c>
      <c r="U67" s="164" t="s">
        <v>575</v>
      </c>
      <c r="V67" s="161" t="s">
        <v>590</v>
      </c>
      <c r="W67" s="230" t="s">
        <v>551</v>
      </c>
      <c r="X67" s="149" t="s">
        <v>900</v>
      </c>
      <c r="Y67" s="147" t="s">
        <v>52</v>
      </c>
      <c r="Z67" s="147" t="s">
        <v>27</v>
      </c>
      <c r="AA67" s="147" t="s">
        <v>11</v>
      </c>
      <c r="AB67" s="147" t="s">
        <v>901</v>
      </c>
      <c r="AC67" s="217">
        <v>2.0</v>
      </c>
      <c r="AD67" s="217">
        <v>0.0</v>
      </c>
      <c r="AE67" s="217">
        <v>0.0</v>
      </c>
      <c r="AF67" s="217">
        <v>1.0</v>
      </c>
    </row>
    <row r="68">
      <c r="A68" s="141">
        <v>335.0</v>
      </c>
      <c r="B68" s="142" t="s">
        <v>52</v>
      </c>
      <c r="C68" s="143" t="str">
        <f>HYPERLINK("https://azurlane.koumakan.jp/Little_Bel","Little Bel")</f>
        <v>Little Bel</v>
      </c>
      <c r="D68" s="142" t="s">
        <v>28</v>
      </c>
      <c r="E68" s="165">
        <v>3306.0</v>
      </c>
      <c r="F68" s="145">
        <v>161.0</v>
      </c>
      <c r="G68" s="145">
        <v>329.0</v>
      </c>
      <c r="H68" s="145">
        <v>0.0</v>
      </c>
      <c r="I68" s="145">
        <v>289.0</v>
      </c>
      <c r="J68" s="145">
        <v>188.0</v>
      </c>
      <c r="K68" s="145">
        <v>113.0</v>
      </c>
      <c r="L68" s="145" t="s">
        <v>29</v>
      </c>
      <c r="M68" s="145">
        <v>32.0</v>
      </c>
      <c r="N68" s="145">
        <v>164.0</v>
      </c>
      <c r="O68" s="231">
        <v>89.0</v>
      </c>
      <c r="P68" s="145">
        <v>150.0</v>
      </c>
      <c r="Q68" s="145">
        <v>10.0</v>
      </c>
      <c r="R68" s="145">
        <v>0.0</v>
      </c>
      <c r="S68" s="145">
        <v>0.0</v>
      </c>
      <c r="T68" s="147" t="s">
        <v>104</v>
      </c>
      <c r="U68" s="161" t="s">
        <v>995</v>
      </c>
      <c r="V68" s="161" t="s">
        <v>996</v>
      </c>
      <c r="W68" s="230" t="s">
        <v>551</v>
      </c>
      <c r="X68" s="149" t="s">
        <v>922</v>
      </c>
      <c r="Y68" s="147" t="s">
        <v>52</v>
      </c>
      <c r="Z68" s="147" t="s">
        <v>557</v>
      </c>
      <c r="AA68" s="147" t="s">
        <v>11</v>
      </c>
      <c r="AB68" s="147" t="s">
        <v>997</v>
      </c>
      <c r="AC68" s="216">
        <v>1.0</v>
      </c>
      <c r="AD68" s="216">
        <v>2.0</v>
      </c>
      <c r="AE68" s="216">
        <v>1.0</v>
      </c>
      <c r="AF68" s="216">
        <v>1.0</v>
      </c>
    </row>
    <row r="69">
      <c r="A69" s="141">
        <v>349.0</v>
      </c>
      <c r="B69" s="142" t="s">
        <v>52</v>
      </c>
      <c r="C69" s="143" t="str">
        <f>HYPERLINK("https://azurlane.koumakan.jp/Emile_Bertin","Emile Bertin")</f>
        <v>Emile Bertin</v>
      </c>
      <c r="D69" s="142" t="s">
        <v>28</v>
      </c>
      <c r="E69" s="165">
        <v>3259.0</v>
      </c>
      <c r="F69" s="145">
        <v>163.0</v>
      </c>
      <c r="G69" s="145">
        <v>277.0</v>
      </c>
      <c r="H69" s="145">
        <v>0.0</v>
      </c>
      <c r="I69" s="145">
        <v>278.0</v>
      </c>
      <c r="J69" s="145">
        <v>175.0</v>
      </c>
      <c r="K69" s="168">
        <v>139.0</v>
      </c>
      <c r="L69" s="145" t="s">
        <v>29</v>
      </c>
      <c r="M69" s="145">
        <v>34.0</v>
      </c>
      <c r="N69" s="145">
        <v>175.0</v>
      </c>
      <c r="O69" s="166">
        <v>67.0</v>
      </c>
      <c r="P69" s="145">
        <v>146.0</v>
      </c>
      <c r="Q69" s="145">
        <v>10.0</v>
      </c>
      <c r="R69" s="145">
        <v>0.0</v>
      </c>
      <c r="S69" s="145">
        <v>0.0</v>
      </c>
      <c r="T69" s="147" t="s">
        <v>243</v>
      </c>
      <c r="U69" s="148" t="s">
        <v>998</v>
      </c>
      <c r="V69" s="148" t="s">
        <v>999</v>
      </c>
      <c r="W69" s="230" t="s">
        <v>551</v>
      </c>
      <c r="X69" s="149" t="s">
        <v>1000</v>
      </c>
      <c r="Y69" s="147" t="s">
        <v>52</v>
      </c>
      <c r="Z69" s="147" t="s">
        <v>557</v>
      </c>
      <c r="AA69" s="147" t="s">
        <v>11</v>
      </c>
      <c r="AB69" s="147" t="s">
        <v>1001</v>
      </c>
      <c r="AC69" s="217">
        <v>1.0</v>
      </c>
      <c r="AD69" s="217">
        <v>2.0</v>
      </c>
      <c r="AE69" s="217">
        <v>1.0</v>
      </c>
      <c r="AF69" s="217">
        <v>1.0</v>
      </c>
    </row>
    <row r="70">
      <c r="A70" s="232">
        <v>349.1</v>
      </c>
      <c r="B70" s="233" t="s">
        <v>52</v>
      </c>
      <c r="C70" s="234" t="str">
        <f>HYPERLINK("https://azurlane.koumakan.jp/Emile_Bertin#Retrofit","Emile Bertin (R)")</f>
        <v>Emile Bertin (R)</v>
      </c>
      <c r="D70" s="235" t="s">
        <v>32</v>
      </c>
      <c r="E70" s="236">
        <v>3499.0</v>
      </c>
      <c r="F70" s="237">
        <v>193.0</v>
      </c>
      <c r="G70" s="237">
        <v>302.0</v>
      </c>
      <c r="H70" s="238">
        <v>0.0</v>
      </c>
      <c r="I70" s="237">
        <v>333.0</v>
      </c>
      <c r="J70" s="237">
        <v>180.0</v>
      </c>
      <c r="K70" s="239">
        <v>139.0</v>
      </c>
      <c r="L70" s="238" t="s">
        <v>29</v>
      </c>
      <c r="M70" s="237">
        <v>34.0</v>
      </c>
      <c r="N70" s="237">
        <v>180.0</v>
      </c>
      <c r="O70" s="240">
        <v>67.0</v>
      </c>
      <c r="P70" s="237">
        <v>146.0</v>
      </c>
      <c r="Q70" s="238">
        <v>10.0</v>
      </c>
      <c r="R70" s="237">
        <v>0.0</v>
      </c>
      <c r="S70" s="237">
        <v>0.0</v>
      </c>
      <c r="T70" s="147" t="s">
        <v>243</v>
      </c>
      <c r="U70" s="148" t="s">
        <v>998</v>
      </c>
      <c r="V70" s="148" t="s">
        <v>999</v>
      </c>
      <c r="W70" s="164" t="s">
        <v>1002</v>
      </c>
      <c r="X70" s="149" t="s">
        <v>1000</v>
      </c>
      <c r="Y70" s="147" t="s">
        <v>52</v>
      </c>
      <c r="Z70" s="147" t="s">
        <v>557</v>
      </c>
      <c r="AA70" s="147" t="s">
        <v>11</v>
      </c>
      <c r="AB70" s="147" t="s">
        <v>1003</v>
      </c>
      <c r="AC70" s="217">
        <v>1.0</v>
      </c>
      <c r="AD70" s="217">
        <v>2.0</v>
      </c>
      <c r="AE70" s="217">
        <v>1.0</v>
      </c>
      <c r="AF70" s="217">
        <v>1.0</v>
      </c>
    </row>
    <row r="71">
      <c r="A71" s="141">
        <v>360.0</v>
      </c>
      <c r="B71" s="142" t="s">
        <v>52</v>
      </c>
      <c r="C71" s="143" t="str">
        <f>HYPERLINK("https://azurlane.koumakan.jp/Memphis","Memphis")</f>
        <v>Memphis</v>
      </c>
      <c r="D71" s="142" t="s">
        <v>36</v>
      </c>
      <c r="E71" s="144">
        <v>3378.0</v>
      </c>
      <c r="F71" s="158">
        <v>148.0</v>
      </c>
      <c r="G71" s="158">
        <v>215.0</v>
      </c>
      <c r="H71" s="158">
        <v>0.0</v>
      </c>
      <c r="I71" s="158">
        <v>301.0</v>
      </c>
      <c r="J71" s="158">
        <v>188.0</v>
      </c>
      <c r="K71" s="158">
        <v>120.0</v>
      </c>
      <c r="L71" s="158" t="s">
        <v>29</v>
      </c>
      <c r="M71" s="158">
        <v>35.0</v>
      </c>
      <c r="N71" s="145">
        <v>156.0</v>
      </c>
      <c r="O71" s="146">
        <v>67.0</v>
      </c>
      <c r="P71" s="158">
        <v>84.0</v>
      </c>
      <c r="Q71" s="158">
        <v>9.0</v>
      </c>
      <c r="R71" s="158">
        <v>0.0</v>
      </c>
      <c r="S71" s="158">
        <v>0.0</v>
      </c>
      <c r="T71" s="147" t="s">
        <v>37</v>
      </c>
      <c r="U71" s="164" t="s">
        <v>562</v>
      </c>
      <c r="V71" s="149" t="s">
        <v>551</v>
      </c>
      <c r="W71" s="149" t="s">
        <v>551</v>
      </c>
      <c r="X71" s="149" t="s">
        <v>879</v>
      </c>
      <c r="Y71" s="147" t="s">
        <v>52</v>
      </c>
      <c r="Z71" s="147" t="s">
        <v>557</v>
      </c>
      <c r="AA71" s="147" t="s">
        <v>11</v>
      </c>
      <c r="AB71" s="147" t="s">
        <v>1004</v>
      </c>
      <c r="AC71" s="216">
        <v>1.0</v>
      </c>
      <c r="AD71" s="216">
        <v>2.0</v>
      </c>
      <c r="AE71" s="216">
        <v>1.0</v>
      </c>
      <c r="AF71" s="216">
        <v>1.0</v>
      </c>
    </row>
    <row r="72">
      <c r="A72" s="141">
        <v>361.0</v>
      </c>
      <c r="B72" s="142" t="s">
        <v>52</v>
      </c>
      <c r="C72" s="143" t="str">
        <f>HYPERLINK("https://azurlane.koumakan.jp/Newcastle","Newcastle")</f>
        <v>Newcastle</v>
      </c>
      <c r="D72" s="142" t="s">
        <v>36</v>
      </c>
      <c r="E72" s="145">
        <v>3773.0</v>
      </c>
      <c r="F72" s="145">
        <v>147.0</v>
      </c>
      <c r="G72" s="145">
        <v>289.0</v>
      </c>
      <c r="H72" s="145">
        <v>0.0</v>
      </c>
      <c r="I72" s="145">
        <v>354.0</v>
      </c>
      <c r="J72" s="145">
        <v>181.0</v>
      </c>
      <c r="K72" s="145">
        <v>119.0</v>
      </c>
      <c r="L72" s="145" t="s">
        <v>29</v>
      </c>
      <c r="M72" s="145">
        <v>32.0</v>
      </c>
      <c r="N72" s="145">
        <v>164.0</v>
      </c>
      <c r="O72" s="145">
        <v>78.0</v>
      </c>
      <c r="P72" s="145">
        <v>86.0</v>
      </c>
      <c r="Q72" s="145">
        <v>9.0</v>
      </c>
      <c r="R72" s="145">
        <v>0.0</v>
      </c>
      <c r="S72" s="145">
        <v>0.0</v>
      </c>
      <c r="T72" s="147" t="s">
        <v>104</v>
      </c>
      <c r="U72" s="161" t="s">
        <v>590</v>
      </c>
      <c r="V72" s="148" t="s">
        <v>717</v>
      </c>
      <c r="W72" s="149" t="s">
        <v>551</v>
      </c>
      <c r="X72" s="149" t="s">
        <v>914</v>
      </c>
      <c r="Y72" s="147" t="s">
        <v>52</v>
      </c>
      <c r="Z72" s="147" t="s">
        <v>557</v>
      </c>
      <c r="AA72" s="147" t="s">
        <v>11</v>
      </c>
      <c r="AB72" s="147" t="s">
        <v>1005</v>
      </c>
      <c r="AC72" s="217">
        <v>1.0</v>
      </c>
      <c r="AD72" s="217">
        <v>2.0</v>
      </c>
      <c r="AE72" s="217">
        <v>1.0</v>
      </c>
      <c r="AF72" s="217">
        <v>1.0</v>
      </c>
    </row>
    <row r="73">
      <c r="A73" s="141">
        <v>361.1</v>
      </c>
      <c r="B73" s="142" t="s">
        <v>52</v>
      </c>
      <c r="C73" s="143" t="str">
        <f>HYPERLINK("https://azurlane.koumakan.jp/Newcastle#Retrofit","Newcastle (R)")</f>
        <v>Newcastle (R)</v>
      </c>
      <c r="D73" s="142" t="s">
        <v>28</v>
      </c>
      <c r="E73" s="158">
        <v>4013.0</v>
      </c>
      <c r="F73" s="145">
        <v>177.0</v>
      </c>
      <c r="G73" s="145">
        <v>289.0</v>
      </c>
      <c r="H73" s="145">
        <v>0.0</v>
      </c>
      <c r="I73" s="145">
        <v>394.0</v>
      </c>
      <c r="J73" s="145">
        <v>196.0</v>
      </c>
      <c r="K73" s="145">
        <v>119.0</v>
      </c>
      <c r="L73" s="145" t="s">
        <v>29</v>
      </c>
      <c r="M73" s="145">
        <v>32.0</v>
      </c>
      <c r="N73" s="145">
        <v>169.0</v>
      </c>
      <c r="O73" s="169">
        <v>78.0</v>
      </c>
      <c r="P73" s="145">
        <v>86.0</v>
      </c>
      <c r="Q73" s="145">
        <v>9.0</v>
      </c>
      <c r="R73" s="145">
        <v>0.0</v>
      </c>
      <c r="S73" s="145">
        <v>0.0</v>
      </c>
      <c r="T73" s="147" t="s">
        <v>104</v>
      </c>
      <c r="U73" s="161" t="s">
        <v>590</v>
      </c>
      <c r="V73" s="148" t="s">
        <v>717</v>
      </c>
      <c r="W73" s="148" t="s">
        <v>1006</v>
      </c>
      <c r="X73" s="149" t="s">
        <v>914</v>
      </c>
      <c r="Y73" s="147" t="s">
        <v>52</v>
      </c>
      <c r="Z73" s="147" t="s">
        <v>557</v>
      </c>
      <c r="AA73" s="147" t="s">
        <v>11</v>
      </c>
      <c r="AB73" s="147" t="s">
        <v>1007</v>
      </c>
      <c r="AC73" s="216">
        <v>1.0</v>
      </c>
      <c r="AD73" s="216">
        <v>2.0</v>
      </c>
      <c r="AE73" s="216">
        <v>1.0</v>
      </c>
      <c r="AF73" s="216">
        <v>1.0</v>
      </c>
    </row>
    <row r="74">
      <c r="A74" s="141">
        <v>366.0</v>
      </c>
      <c r="B74" s="142" t="s">
        <v>52</v>
      </c>
      <c r="C74" s="143" t="str">
        <f>HYPERLINK("https://azurlane.koumakan.jp/Concord","Concord")</f>
        <v>Concord</v>
      </c>
      <c r="D74" s="142" t="s">
        <v>36</v>
      </c>
      <c r="E74" s="145">
        <v>3378.0</v>
      </c>
      <c r="F74" s="145">
        <v>148.0</v>
      </c>
      <c r="G74" s="145">
        <v>218.0</v>
      </c>
      <c r="H74" s="145">
        <v>0.0</v>
      </c>
      <c r="I74" s="145">
        <v>301.0</v>
      </c>
      <c r="J74" s="145">
        <v>188.0</v>
      </c>
      <c r="K74" s="145">
        <v>120.0</v>
      </c>
      <c r="L74" s="145" t="s">
        <v>29</v>
      </c>
      <c r="M74" s="145">
        <v>35.0</v>
      </c>
      <c r="N74" s="145">
        <v>156.0</v>
      </c>
      <c r="O74" s="145">
        <v>67.0</v>
      </c>
      <c r="P74" s="145">
        <v>84.0</v>
      </c>
      <c r="Q74" s="145">
        <v>9.0</v>
      </c>
      <c r="R74" s="145">
        <v>0.0</v>
      </c>
      <c r="S74" s="145">
        <v>0.0</v>
      </c>
      <c r="T74" s="147" t="s">
        <v>37</v>
      </c>
      <c r="U74" s="164" t="s">
        <v>562</v>
      </c>
      <c r="V74" s="149" t="s">
        <v>551</v>
      </c>
      <c r="W74" s="149" t="s">
        <v>551</v>
      </c>
      <c r="X74" s="149" t="s">
        <v>879</v>
      </c>
      <c r="Y74" s="147" t="s">
        <v>52</v>
      </c>
      <c r="Z74" s="147" t="s">
        <v>557</v>
      </c>
      <c r="AA74" s="147" t="s">
        <v>11</v>
      </c>
      <c r="AB74" s="147" t="s">
        <v>1008</v>
      </c>
      <c r="AC74" s="216">
        <v>1.0</v>
      </c>
      <c r="AD74" s="216">
        <v>2.0</v>
      </c>
      <c r="AE74" s="216">
        <v>1.0</v>
      </c>
      <c r="AF74" s="216">
        <v>1.0</v>
      </c>
    </row>
    <row r="75">
      <c r="A75" s="141">
        <v>371.0</v>
      </c>
      <c r="B75" s="142" t="s">
        <v>52</v>
      </c>
      <c r="C75" s="143" t="str">
        <f>HYPERLINK("https://azurlane.koumakan.jp/Sirius","Sirius")</f>
        <v>Sirius</v>
      </c>
      <c r="D75" s="142" t="s">
        <v>32</v>
      </c>
      <c r="E75" s="165">
        <v>3831.0</v>
      </c>
      <c r="F75" s="145">
        <v>153.0</v>
      </c>
      <c r="G75" s="145">
        <v>163.0</v>
      </c>
      <c r="H75" s="145">
        <v>0.0</v>
      </c>
      <c r="I75" s="145">
        <v>393.0</v>
      </c>
      <c r="J75" s="145">
        <v>185.0</v>
      </c>
      <c r="K75" s="145">
        <v>114.0</v>
      </c>
      <c r="L75" s="145" t="s">
        <v>29</v>
      </c>
      <c r="M75" s="145">
        <v>32.0</v>
      </c>
      <c r="N75" s="145">
        <v>173.0</v>
      </c>
      <c r="O75" s="166">
        <v>70.0</v>
      </c>
      <c r="P75" s="145">
        <v>166.0</v>
      </c>
      <c r="Q75" s="145">
        <v>11.0</v>
      </c>
      <c r="R75" s="145">
        <v>0.0</v>
      </c>
      <c r="S75" s="145">
        <v>0.0</v>
      </c>
      <c r="T75" s="147" t="s">
        <v>104</v>
      </c>
      <c r="U75" s="148" t="s">
        <v>1009</v>
      </c>
      <c r="V75" s="164" t="s">
        <v>1010</v>
      </c>
      <c r="W75" s="149" t="s">
        <v>551</v>
      </c>
      <c r="X75" s="149" t="s">
        <v>1011</v>
      </c>
      <c r="Y75" s="147" t="s">
        <v>677</v>
      </c>
      <c r="Z75" s="147" t="s">
        <v>557</v>
      </c>
      <c r="AA75" s="147" t="s">
        <v>11</v>
      </c>
      <c r="AB75" s="147" t="s">
        <v>1012</v>
      </c>
      <c r="AC75" s="217">
        <v>1.0</v>
      </c>
      <c r="AD75" s="217">
        <v>2.0</v>
      </c>
      <c r="AE75" s="217">
        <v>1.0</v>
      </c>
      <c r="AF75" s="217">
        <v>1.0</v>
      </c>
    </row>
    <row r="76">
      <c r="A76" s="156">
        <v>372.0</v>
      </c>
      <c r="B76" s="159" t="s">
        <v>52</v>
      </c>
      <c r="C76" s="189" t="str">
        <f>HYPERLINK("https://azurlane.koumakan.jp/Curacoa","Curacoa")</f>
        <v>Curacoa</v>
      </c>
      <c r="D76" s="185" t="s">
        <v>36</v>
      </c>
      <c r="E76" s="165">
        <v>3050.0</v>
      </c>
      <c r="F76" s="165">
        <v>136.0</v>
      </c>
      <c r="G76" s="165">
        <v>0.0</v>
      </c>
      <c r="H76" s="165">
        <v>0.0</v>
      </c>
      <c r="I76" s="165">
        <v>157.0</v>
      </c>
      <c r="J76" s="165">
        <v>185.0</v>
      </c>
      <c r="K76" s="165">
        <v>109.0</v>
      </c>
      <c r="L76" s="165" t="s">
        <v>29</v>
      </c>
      <c r="M76" s="165">
        <v>29.0</v>
      </c>
      <c r="N76" s="165">
        <v>173.0</v>
      </c>
      <c r="O76" s="165">
        <v>24.0</v>
      </c>
      <c r="P76" s="165">
        <v>54.0</v>
      </c>
      <c r="Q76" s="165">
        <v>9.0</v>
      </c>
      <c r="R76" s="165">
        <v>0.0</v>
      </c>
      <c r="S76" s="165">
        <v>0.0</v>
      </c>
      <c r="T76" s="147" t="s">
        <v>104</v>
      </c>
      <c r="U76" s="164" t="s">
        <v>720</v>
      </c>
      <c r="V76" s="149" t="s">
        <v>551</v>
      </c>
      <c r="W76" s="149" t="s">
        <v>551</v>
      </c>
      <c r="X76" s="149" t="s">
        <v>1013</v>
      </c>
      <c r="Y76" s="147" t="s">
        <v>677</v>
      </c>
      <c r="Z76" s="147" t="s">
        <v>11</v>
      </c>
      <c r="AA76" s="147" t="s">
        <v>11</v>
      </c>
      <c r="AB76" s="147" t="s">
        <v>1014</v>
      </c>
      <c r="AC76" s="216">
        <v>2.0</v>
      </c>
      <c r="AD76" s="216">
        <v>0.0</v>
      </c>
      <c r="AE76" s="216">
        <v>0.0</v>
      </c>
      <c r="AF76" s="216">
        <v>2.0</v>
      </c>
    </row>
    <row r="77">
      <c r="A77" s="111">
        <v>372.1</v>
      </c>
      <c r="B77" s="112" t="s">
        <v>52</v>
      </c>
      <c r="C77" s="113" t="str">
        <f>HYPERLINK("https://azurlane.koumakan.jp/Curacoa#Retrofit","Curacoa (R)")</f>
        <v>Curacoa (R)</v>
      </c>
      <c r="D77" s="114" t="s">
        <v>28</v>
      </c>
      <c r="E77" s="108">
        <v>3290.0</v>
      </c>
      <c r="F77" s="108">
        <v>176.0</v>
      </c>
      <c r="G77" s="109">
        <v>0.0</v>
      </c>
      <c r="H77" s="109">
        <v>0.0</v>
      </c>
      <c r="I77" s="108">
        <v>202.0</v>
      </c>
      <c r="J77" s="108">
        <v>185.0</v>
      </c>
      <c r="K77" s="108">
        <v>109.0</v>
      </c>
      <c r="L77" s="109" t="s">
        <v>29</v>
      </c>
      <c r="M77" s="109">
        <v>29.0</v>
      </c>
      <c r="N77" s="108">
        <v>178.0</v>
      </c>
      <c r="O77" s="109">
        <v>24.0</v>
      </c>
      <c r="P77" s="108">
        <v>54.0</v>
      </c>
      <c r="Q77" s="109">
        <v>9.0</v>
      </c>
      <c r="R77" s="109">
        <v>0.0</v>
      </c>
      <c r="S77" s="109">
        <v>0.0</v>
      </c>
      <c r="T77" s="147" t="s">
        <v>104</v>
      </c>
      <c r="U77" s="164" t="s">
        <v>720</v>
      </c>
      <c r="V77" s="149" t="s">
        <v>551</v>
      </c>
      <c r="W77" s="148" t="s">
        <v>1015</v>
      </c>
      <c r="X77" s="149" t="s">
        <v>1013</v>
      </c>
      <c r="Y77" s="147" t="s">
        <v>677</v>
      </c>
      <c r="Z77" s="147" t="s">
        <v>11</v>
      </c>
      <c r="AA77" s="147" t="s">
        <v>11</v>
      </c>
      <c r="AB77" s="147" t="s">
        <v>1016</v>
      </c>
      <c r="AC77" s="216">
        <v>2.0</v>
      </c>
      <c r="AD77" s="216">
        <v>0.0</v>
      </c>
      <c r="AE77" s="216">
        <v>0.0</v>
      </c>
      <c r="AF77" s="216">
        <v>2.0</v>
      </c>
    </row>
    <row r="78">
      <c r="A78" s="156">
        <v>373.0</v>
      </c>
      <c r="B78" s="149" t="s">
        <v>52</v>
      </c>
      <c r="C78" s="157" t="str">
        <f>HYPERLINK("https://azurlane.koumakan.jp/Curlew","Curlew")</f>
        <v>Curlew</v>
      </c>
      <c r="D78" s="142" t="s">
        <v>36</v>
      </c>
      <c r="E78" s="145">
        <v>2854.0</v>
      </c>
      <c r="F78" s="145">
        <v>130.0</v>
      </c>
      <c r="G78" s="145">
        <v>0.0</v>
      </c>
      <c r="H78" s="145">
        <v>0.0</v>
      </c>
      <c r="I78" s="145">
        <v>182.0</v>
      </c>
      <c r="J78" s="145">
        <v>193.0</v>
      </c>
      <c r="K78" s="145">
        <v>109.0</v>
      </c>
      <c r="L78" s="145" t="s">
        <v>29</v>
      </c>
      <c r="M78" s="145">
        <v>29.0</v>
      </c>
      <c r="N78" s="145">
        <v>170.0</v>
      </c>
      <c r="O78" s="145">
        <v>45.0</v>
      </c>
      <c r="P78" s="145">
        <v>54.0</v>
      </c>
      <c r="Q78" s="145">
        <v>9.0</v>
      </c>
      <c r="R78" s="145">
        <v>0.0</v>
      </c>
      <c r="S78" s="145">
        <v>0.0</v>
      </c>
      <c r="T78" s="147" t="s">
        <v>104</v>
      </c>
      <c r="U78" s="188" t="s">
        <v>720</v>
      </c>
      <c r="V78" s="159" t="s">
        <v>551</v>
      </c>
      <c r="W78" s="159" t="s">
        <v>551</v>
      </c>
      <c r="X78" s="159" t="s">
        <v>1013</v>
      </c>
      <c r="Y78" s="147" t="s">
        <v>677</v>
      </c>
      <c r="Z78" s="147" t="s">
        <v>11</v>
      </c>
      <c r="AA78" s="147" t="s">
        <v>11</v>
      </c>
      <c r="AB78" s="160" t="s">
        <v>1014</v>
      </c>
      <c r="AC78" s="217">
        <v>2.0</v>
      </c>
      <c r="AD78" s="217">
        <v>0.0</v>
      </c>
      <c r="AE78" s="217">
        <v>0.0</v>
      </c>
      <c r="AF78" s="217">
        <v>2.0</v>
      </c>
    </row>
    <row r="79">
      <c r="A79" s="115">
        <v>373.1</v>
      </c>
      <c r="B79" s="112" t="s">
        <v>52</v>
      </c>
      <c r="C79" s="116" t="str">
        <f>HYPERLINK("https://azurlane.koumakan.jp/Curlew#Retrofit","Curlew (R)")</f>
        <v>Curlew (R)</v>
      </c>
      <c r="D79" s="114" t="s">
        <v>28</v>
      </c>
      <c r="E79" s="117">
        <v>3094.0</v>
      </c>
      <c r="F79" s="117">
        <v>170.0</v>
      </c>
      <c r="G79" s="118">
        <v>0.0</v>
      </c>
      <c r="H79" s="118">
        <v>0.0</v>
      </c>
      <c r="I79" s="117">
        <v>227.0</v>
      </c>
      <c r="J79" s="117">
        <v>193.0</v>
      </c>
      <c r="K79" s="117">
        <v>109.0</v>
      </c>
      <c r="L79" s="118" t="s">
        <v>29</v>
      </c>
      <c r="M79" s="118">
        <v>29.0</v>
      </c>
      <c r="N79" s="117">
        <v>175.0</v>
      </c>
      <c r="O79" s="118">
        <v>45.0</v>
      </c>
      <c r="P79" s="117">
        <v>54.0</v>
      </c>
      <c r="Q79" s="118">
        <v>9.0</v>
      </c>
      <c r="R79" s="118">
        <v>0.0</v>
      </c>
      <c r="S79" s="118">
        <v>0.0</v>
      </c>
      <c r="T79" s="147" t="s">
        <v>104</v>
      </c>
      <c r="U79" s="188" t="s">
        <v>720</v>
      </c>
      <c r="V79" s="159" t="s">
        <v>551</v>
      </c>
      <c r="W79" s="206" t="s">
        <v>577</v>
      </c>
      <c r="X79" s="149" t="s">
        <v>1013</v>
      </c>
      <c r="Y79" s="147" t="s">
        <v>677</v>
      </c>
      <c r="Z79" s="147" t="s">
        <v>11</v>
      </c>
      <c r="AA79" s="147" t="s">
        <v>11</v>
      </c>
      <c r="AB79" s="160" t="s">
        <v>1017</v>
      </c>
      <c r="AC79" s="217">
        <v>2.0</v>
      </c>
      <c r="AD79" s="217">
        <v>0.0</v>
      </c>
      <c r="AE79" s="217">
        <v>0.0</v>
      </c>
      <c r="AF79" s="217">
        <v>2.0</v>
      </c>
    </row>
    <row r="80">
      <c r="A80" s="156">
        <v>390.0</v>
      </c>
      <c r="B80" s="159" t="s">
        <v>52</v>
      </c>
      <c r="C80" s="189" t="str">
        <f>HYPERLINK("https://azurlane.koumakan.jp/Li%27l_Sandy","Lena")</f>
        <v>Lena</v>
      </c>
      <c r="D80" s="159" t="s">
        <v>28</v>
      </c>
      <c r="E80" s="144">
        <v>3321.0</v>
      </c>
      <c r="F80" s="144">
        <v>169.0</v>
      </c>
      <c r="G80" s="144">
        <v>0.0</v>
      </c>
      <c r="H80" s="144">
        <v>0.0</v>
      </c>
      <c r="I80" s="144">
        <v>323.0</v>
      </c>
      <c r="J80" s="144">
        <v>188.0</v>
      </c>
      <c r="K80" s="144">
        <v>107.0</v>
      </c>
      <c r="L80" s="144" t="s">
        <v>29</v>
      </c>
      <c r="M80" s="144">
        <v>32.0</v>
      </c>
      <c r="N80" s="165">
        <v>177.0</v>
      </c>
      <c r="O80" s="165">
        <v>33.0</v>
      </c>
      <c r="P80" s="144">
        <v>109.0</v>
      </c>
      <c r="Q80" s="144">
        <v>10.0</v>
      </c>
      <c r="R80" s="144">
        <v>0.0</v>
      </c>
      <c r="S80" s="144">
        <v>0.0</v>
      </c>
      <c r="T80" s="147" t="s">
        <v>37</v>
      </c>
      <c r="U80" s="148" t="s">
        <v>1018</v>
      </c>
      <c r="V80" s="161" t="s">
        <v>1019</v>
      </c>
      <c r="W80" s="149" t="s">
        <v>551</v>
      </c>
      <c r="X80" s="159" t="s">
        <v>882</v>
      </c>
      <c r="Y80" s="147" t="s">
        <v>52</v>
      </c>
      <c r="Z80" s="147" t="s">
        <v>27</v>
      </c>
      <c r="AA80" s="147" t="s">
        <v>11</v>
      </c>
      <c r="AB80" s="147" t="s">
        <v>883</v>
      </c>
      <c r="AC80" s="216">
        <v>2.0</v>
      </c>
      <c r="AD80" s="216">
        <v>0.0</v>
      </c>
      <c r="AE80" s="216">
        <v>0.0</v>
      </c>
      <c r="AF80" s="216">
        <v>1.0</v>
      </c>
    </row>
    <row r="81">
      <c r="A81" s="156">
        <v>391.0</v>
      </c>
      <c r="B81" s="159" t="s">
        <v>52</v>
      </c>
      <c r="C81" s="189" t="str">
        <f>HYPERLINK("https://azurlane.koumakan.jp/Clevelad","Clevelad")</f>
        <v>Clevelad</v>
      </c>
      <c r="D81" s="159" t="s">
        <v>28</v>
      </c>
      <c r="E81" s="144">
        <v>3684.0</v>
      </c>
      <c r="F81" s="144">
        <v>164.0</v>
      </c>
      <c r="G81" s="144">
        <v>0.0</v>
      </c>
      <c r="H81" s="144">
        <v>0.0</v>
      </c>
      <c r="I81" s="144">
        <v>330.0</v>
      </c>
      <c r="J81" s="144">
        <v>183.0</v>
      </c>
      <c r="K81" s="144">
        <v>111.0</v>
      </c>
      <c r="L81" s="144" t="s">
        <v>29</v>
      </c>
      <c r="M81" s="144">
        <v>32.0</v>
      </c>
      <c r="N81" s="165">
        <v>163.0</v>
      </c>
      <c r="O81" s="165">
        <v>71.0</v>
      </c>
      <c r="P81" s="144">
        <v>102.0</v>
      </c>
      <c r="Q81" s="144">
        <v>10.0</v>
      </c>
      <c r="R81" s="144">
        <v>0.0</v>
      </c>
      <c r="S81" s="144">
        <v>0.0</v>
      </c>
      <c r="T81" s="160" t="s">
        <v>37</v>
      </c>
      <c r="U81" s="148" t="s">
        <v>1020</v>
      </c>
      <c r="V81" s="161" t="s">
        <v>1021</v>
      </c>
      <c r="W81" s="159" t="s">
        <v>551</v>
      </c>
      <c r="X81" s="159" t="s">
        <v>900</v>
      </c>
      <c r="Y81" s="160" t="s">
        <v>52</v>
      </c>
      <c r="Z81" s="160" t="s">
        <v>27</v>
      </c>
      <c r="AA81" s="160" t="s">
        <v>11</v>
      </c>
      <c r="AB81" s="160" t="s">
        <v>1022</v>
      </c>
      <c r="AC81" s="217">
        <v>2.0</v>
      </c>
      <c r="AD81" s="217">
        <v>0.0</v>
      </c>
      <c r="AE81" s="217">
        <v>0.0</v>
      </c>
      <c r="AF81" s="217">
        <v>1.0</v>
      </c>
    </row>
    <row r="82">
      <c r="A82" s="156">
        <v>392.0</v>
      </c>
      <c r="B82" s="159" t="s">
        <v>52</v>
      </c>
      <c r="C82" s="189" t="str">
        <f>HYPERLINK("https://azurlane.koumakan.jp/Li%27l_Sandy","Li'l Sandy")</f>
        <v>Li'l Sandy</v>
      </c>
      <c r="D82" s="159" t="s">
        <v>28</v>
      </c>
      <c r="E82" s="144">
        <v>3301.0</v>
      </c>
      <c r="F82" s="144">
        <v>132.0</v>
      </c>
      <c r="G82" s="144">
        <v>163.0</v>
      </c>
      <c r="H82" s="144">
        <v>0.0</v>
      </c>
      <c r="I82" s="144">
        <v>443.0</v>
      </c>
      <c r="J82" s="144">
        <v>185.0</v>
      </c>
      <c r="K82" s="144">
        <v>113.0</v>
      </c>
      <c r="L82" s="144" t="s">
        <v>29</v>
      </c>
      <c r="M82" s="144">
        <v>32.0</v>
      </c>
      <c r="N82" s="165">
        <v>173.0</v>
      </c>
      <c r="O82" s="165">
        <v>85.0</v>
      </c>
      <c r="P82" s="144">
        <v>195.0</v>
      </c>
      <c r="Q82" s="144">
        <v>10.0</v>
      </c>
      <c r="R82" s="144">
        <v>0.0</v>
      </c>
      <c r="S82" s="144">
        <v>0.0</v>
      </c>
      <c r="T82" s="160" t="s">
        <v>37</v>
      </c>
      <c r="U82" s="206" t="s">
        <v>1023</v>
      </c>
      <c r="V82" s="188" t="s">
        <v>1024</v>
      </c>
      <c r="W82" s="159" t="s">
        <v>551</v>
      </c>
      <c r="X82" s="159" t="s">
        <v>890</v>
      </c>
      <c r="Y82" s="160" t="s">
        <v>677</v>
      </c>
      <c r="Z82" s="160" t="s">
        <v>557</v>
      </c>
      <c r="AA82" s="160" t="s">
        <v>11</v>
      </c>
      <c r="AB82" s="160" t="s">
        <v>1025</v>
      </c>
      <c r="AC82" s="241">
        <v>1.0</v>
      </c>
      <c r="AD82" s="241">
        <v>2.0</v>
      </c>
      <c r="AE82" s="241">
        <v>1.0</v>
      </c>
      <c r="AF82" s="241">
        <v>1.0</v>
      </c>
    </row>
    <row r="83">
      <c r="A83" s="182">
        <v>393.0</v>
      </c>
      <c r="B83" s="196" t="s">
        <v>52</v>
      </c>
      <c r="C83" s="197" t="str">
        <f>HYPERLINK("https://azurlane.koumakan.jp/Swiftsure","Swiftsure")</f>
        <v>Swiftsure</v>
      </c>
      <c r="D83" s="191" t="s">
        <v>32</v>
      </c>
      <c r="E83" s="191">
        <v>3884.0</v>
      </c>
      <c r="F83" s="191">
        <v>166.0</v>
      </c>
      <c r="G83" s="191">
        <v>369.0</v>
      </c>
      <c r="H83" s="191">
        <v>0.0</v>
      </c>
      <c r="I83" s="191">
        <v>310.0</v>
      </c>
      <c r="J83" s="191">
        <v>193.0</v>
      </c>
      <c r="K83" s="191">
        <v>113.0</v>
      </c>
      <c r="L83" s="191" t="s">
        <v>29</v>
      </c>
      <c r="M83" s="191">
        <v>32.0</v>
      </c>
      <c r="N83" s="191">
        <v>168.0</v>
      </c>
      <c r="O83" s="191">
        <v>44.0</v>
      </c>
      <c r="P83" s="191">
        <v>150.0</v>
      </c>
      <c r="Q83" s="191">
        <v>11.0</v>
      </c>
      <c r="R83" s="191">
        <v>0.0</v>
      </c>
      <c r="S83" s="191">
        <v>0.0</v>
      </c>
      <c r="T83" s="160" t="s">
        <v>104</v>
      </c>
      <c r="U83" s="161" t="s">
        <v>1026</v>
      </c>
      <c r="V83" s="164" t="s">
        <v>1027</v>
      </c>
      <c r="W83" s="159" t="s">
        <v>551</v>
      </c>
      <c r="X83" s="159" t="s">
        <v>1028</v>
      </c>
      <c r="Y83" s="160" t="s">
        <v>52</v>
      </c>
      <c r="Z83" s="160" t="s">
        <v>557</v>
      </c>
      <c r="AA83" s="160" t="s">
        <v>11</v>
      </c>
      <c r="AB83" s="160" t="s">
        <v>1029</v>
      </c>
      <c r="AC83" s="147">
        <v>1.0</v>
      </c>
      <c r="AD83" s="147">
        <v>2.0</v>
      </c>
      <c r="AE83" s="147">
        <v>1.0</v>
      </c>
      <c r="AF83" s="147">
        <v>1.0</v>
      </c>
    </row>
    <row r="84">
      <c r="A84" s="182">
        <v>404.0</v>
      </c>
      <c r="B84" s="196" t="s">
        <v>52</v>
      </c>
      <c r="C84" s="197" t="str">
        <f>HYPERLINK("https://azurlane.koumakan.jp/San_Juan","San Juan")</f>
        <v>San Juan</v>
      </c>
      <c r="D84" s="191" t="s">
        <v>36</v>
      </c>
      <c r="E84" s="191">
        <v>3598.0</v>
      </c>
      <c r="F84" s="191">
        <v>131.0</v>
      </c>
      <c r="G84" s="191">
        <v>159.0</v>
      </c>
      <c r="H84" s="191">
        <v>0.0</v>
      </c>
      <c r="I84" s="191">
        <v>438.0</v>
      </c>
      <c r="J84" s="191">
        <v>181.0</v>
      </c>
      <c r="K84" s="191">
        <v>112.0</v>
      </c>
      <c r="L84" s="191" t="s">
        <v>29</v>
      </c>
      <c r="M84" s="191">
        <v>32.0</v>
      </c>
      <c r="N84" s="191">
        <v>173.0</v>
      </c>
      <c r="O84" s="191">
        <v>77.0</v>
      </c>
      <c r="P84" s="191">
        <v>188.0</v>
      </c>
      <c r="Q84" s="191">
        <v>9.0</v>
      </c>
      <c r="R84" s="191">
        <v>0.0</v>
      </c>
      <c r="S84" s="191">
        <v>0.0</v>
      </c>
      <c r="T84" s="160" t="s">
        <v>37</v>
      </c>
      <c r="U84" s="202" t="s">
        <v>1030</v>
      </c>
      <c r="V84" s="195" t="s">
        <v>551</v>
      </c>
      <c r="W84" s="195" t="s">
        <v>551</v>
      </c>
      <c r="X84" s="159" t="s">
        <v>890</v>
      </c>
      <c r="Y84" s="160" t="s">
        <v>677</v>
      </c>
      <c r="Z84" s="160" t="s">
        <v>557</v>
      </c>
      <c r="AA84" s="160" t="s">
        <v>11</v>
      </c>
      <c r="AB84" s="242" t="s">
        <v>891</v>
      </c>
      <c r="AC84" s="153">
        <v>1.0</v>
      </c>
      <c r="AD84" s="153">
        <v>2.0</v>
      </c>
      <c r="AE84" s="153">
        <v>1.0</v>
      </c>
      <c r="AF84" s="153">
        <v>1.0</v>
      </c>
    </row>
    <row r="85">
      <c r="A85" s="182">
        <v>405.0</v>
      </c>
      <c r="B85" s="196" t="s">
        <v>52</v>
      </c>
      <c r="C85" s="197" t="str">
        <f>HYPERLINK("https://azurlane.koumakan.jp/Birmingham","Birmingham")</f>
        <v>Birmingham</v>
      </c>
      <c r="D85" s="191" t="s">
        <v>28</v>
      </c>
      <c r="E85" s="191">
        <v>4285.0</v>
      </c>
      <c r="F85" s="191">
        <v>170.0</v>
      </c>
      <c r="G85" s="191">
        <v>0.0</v>
      </c>
      <c r="H85" s="191">
        <v>0.0</v>
      </c>
      <c r="I85" s="191">
        <v>334.0</v>
      </c>
      <c r="J85" s="191">
        <v>188.0</v>
      </c>
      <c r="K85" s="191">
        <v>111.0</v>
      </c>
      <c r="L85" s="191" t="s">
        <v>29</v>
      </c>
      <c r="M85" s="191">
        <v>32.0</v>
      </c>
      <c r="N85" s="191">
        <v>174.0</v>
      </c>
      <c r="O85" s="191">
        <v>48.0</v>
      </c>
      <c r="P85" s="191">
        <v>100.0</v>
      </c>
      <c r="Q85" s="191">
        <v>10.0</v>
      </c>
      <c r="R85" s="191">
        <v>0.0</v>
      </c>
      <c r="S85" s="191">
        <v>0.0</v>
      </c>
      <c r="T85" s="160" t="s">
        <v>37</v>
      </c>
      <c r="U85" s="193" t="s">
        <v>1031</v>
      </c>
      <c r="V85" s="243" t="s">
        <v>1032</v>
      </c>
      <c r="W85" s="195" t="s">
        <v>551</v>
      </c>
      <c r="X85" s="195" t="s">
        <v>900</v>
      </c>
      <c r="Y85" s="160" t="s">
        <v>52</v>
      </c>
      <c r="Z85" s="160" t="s">
        <v>27</v>
      </c>
      <c r="AA85" s="160" t="s">
        <v>11</v>
      </c>
      <c r="AB85" s="195" t="s">
        <v>1033</v>
      </c>
      <c r="AC85" s="153">
        <v>2.0</v>
      </c>
      <c r="AD85" s="153">
        <v>0.0</v>
      </c>
      <c r="AE85" s="153">
        <v>0.0</v>
      </c>
      <c r="AF85" s="153">
        <v>1.0</v>
      </c>
    </row>
    <row r="86">
      <c r="A86" s="182">
        <v>408.0</v>
      </c>
      <c r="B86" s="196" t="s">
        <v>52</v>
      </c>
      <c r="C86" s="197" t="str">
        <f>HYPERLINK("https://azurlane.koumakan.jp/Black_Prince","Black Prince")</f>
        <v>Black Prince</v>
      </c>
      <c r="D86" s="191" t="s">
        <v>28</v>
      </c>
      <c r="E86" s="191">
        <v>3691.0</v>
      </c>
      <c r="F86" s="191">
        <v>144.0</v>
      </c>
      <c r="G86" s="191">
        <v>155.0</v>
      </c>
      <c r="H86" s="191">
        <v>0.0</v>
      </c>
      <c r="I86" s="191">
        <v>385.0</v>
      </c>
      <c r="J86" s="191">
        <v>182.0</v>
      </c>
      <c r="K86" s="191">
        <v>115.0</v>
      </c>
      <c r="L86" s="191" t="s">
        <v>29</v>
      </c>
      <c r="M86" s="191">
        <v>32.0</v>
      </c>
      <c r="N86" s="191">
        <v>173.0</v>
      </c>
      <c r="O86" s="191">
        <v>58.0</v>
      </c>
      <c r="P86" s="191">
        <v>150.0</v>
      </c>
      <c r="Q86" s="191">
        <v>10.0</v>
      </c>
      <c r="R86" s="191">
        <v>0.0</v>
      </c>
      <c r="S86" s="191">
        <v>0.0</v>
      </c>
      <c r="T86" s="160" t="s">
        <v>104</v>
      </c>
      <c r="U86" s="244" t="s">
        <v>1034</v>
      </c>
      <c r="V86" s="190" t="s">
        <v>587</v>
      </c>
      <c r="W86" s="159" t="s">
        <v>551</v>
      </c>
      <c r="X86" s="196" t="s">
        <v>912</v>
      </c>
      <c r="Y86" s="160" t="s">
        <v>677</v>
      </c>
      <c r="Z86" s="160" t="s">
        <v>557</v>
      </c>
      <c r="AA86" s="160" t="s">
        <v>11</v>
      </c>
      <c r="AB86" s="160" t="s">
        <v>1035</v>
      </c>
      <c r="AC86" s="217">
        <v>1.0</v>
      </c>
      <c r="AD86" s="217">
        <v>2.0</v>
      </c>
      <c r="AE86" s="217">
        <v>1.0</v>
      </c>
      <c r="AF86" s="217">
        <v>1.0</v>
      </c>
    </row>
    <row r="87">
      <c r="A87" s="182">
        <v>420.0</v>
      </c>
      <c r="B87" s="170" t="s">
        <v>52</v>
      </c>
      <c r="C87" s="245" t="s">
        <v>277</v>
      </c>
      <c r="D87" s="170" t="s">
        <v>28</v>
      </c>
      <c r="E87" s="170">
        <v>3925.0</v>
      </c>
      <c r="F87" s="170">
        <v>164.0</v>
      </c>
      <c r="G87" s="170">
        <v>0.0</v>
      </c>
      <c r="H87" s="170">
        <v>0.0</v>
      </c>
      <c r="I87" s="170">
        <v>330.0</v>
      </c>
      <c r="J87" s="170">
        <v>191.0</v>
      </c>
      <c r="K87" s="170">
        <v>113.0</v>
      </c>
      <c r="L87" s="170" t="s">
        <v>29</v>
      </c>
      <c r="M87" s="170">
        <v>32.0</v>
      </c>
      <c r="N87" s="170">
        <v>168.0</v>
      </c>
      <c r="O87" s="170">
        <v>71.0</v>
      </c>
      <c r="P87" s="170">
        <v>102.0</v>
      </c>
      <c r="Q87" s="170">
        <v>10.0</v>
      </c>
      <c r="R87" s="170">
        <v>0.0</v>
      </c>
      <c r="S87" s="170">
        <v>0.0</v>
      </c>
      <c r="T87" s="170" t="s">
        <v>37</v>
      </c>
      <c r="U87" s="193" t="s">
        <v>1036</v>
      </c>
      <c r="V87" s="194" t="s">
        <v>1037</v>
      </c>
      <c r="W87" s="195" t="s">
        <v>551</v>
      </c>
      <c r="X87" s="195" t="s">
        <v>1038</v>
      </c>
      <c r="Y87" s="195" t="s">
        <v>52</v>
      </c>
      <c r="Z87" s="195" t="s">
        <v>27</v>
      </c>
      <c r="AA87" s="195" t="s">
        <v>11</v>
      </c>
      <c r="AB87" s="195" t="s">
        <v>901</v>
      </c>
      <c r="AC87" s="195">
        <v>2.0</v>
      </c>
      <c r="AD87" s="195">
        <v>0.0</v>
      </c>
      <c r="AE87" s="195">
        <v>0.0</v>
      </c>
      <c r="AF87" s="195">
        <v>1.0</v>
      </c>
    </row>
    <row r="88">
      <c r="A88" s="182">
        <v>421.0</v>
      </c>
      <c r="B88" s="170" t="s">
        <v>52</v>
      </c>
      <c r="C88" s="246" t="s">
        <v>278</v>
      </c>
      <c r="D88" s="170" t="s">
        <v>28</v>
      </c>
      <c r="E88" s="170">
        <v>3641.0</v>
      </c>
      <c r="F88" s="170">
        <v>155.0</v>
      </c>
      <c r="G88" s="170">
        <v>299.0</v>
      </c>
      <c r="H88" s="170">
        <v>0.0</v>
      </c>
      <c r="I88" s="170">
        <v>358.0</v>
      </c>
      <c r="J88" s="170">
        <v>185.0</v>
      </c>
      <c r="K88" s="170">
        <v>119.0</v>
      </c>
      <c r="L88" s="170" t="s">
        <v>29</v>
      </c>
      <c r="M88" s="170">
        <v>32.0</v>
      </c>
      <c r="N88" s="170">
        <v>164.0</v>
      </c>
      <c r="O88" s="170">
        <v>78.0</v>
      </c>
      <c r="P88" s="170">
        <v>89.0</v>
      </c>
      <c r="Q88" s="170">
        <v>10.0</v>
      </c>
      <c r="R88" s="170">
        <v>0.0</v>
      </c>
      <c r="S88" s="170">
        <v>0.0</v>
      </c>
      <c r="T88" s="170" t="s">
        <v>104</v>
      </c>
      <c r="U88" s="193" t="s">
        <v>1039</v>
      </c>
      <c r="V88" s="194" t="s">
        <v>1040</v>
      </c>
      <c r="W88" s="191" t="s">
        <v>551</v>
      </c>
      <c r="X88" s="191" t="s">
        <v>1041</v>
      </c>
      <c r="Y88" s="191" t="s">
        <v>52</v>
      </c>
      <c r="Z88" s="191" t="s">
        <v>557</v>
      </c>
      <c r="AA88" s="191" t="s">
        <v>11</v>
      </c>
      <c r="AB88" s="191" t="s">
        <v>918</v>
      </c>
      <c r="AC88" s="191">
        <v>1.0</v>
      </c>
      <c r="AD88" s="191">
        <v>2.0</v>
      </c>
      <c r="AE88" s="191">
        <v>1.0</v>
      </c>
      <c r="AF88" s="191">
        <v>1.0</v>
      </c>
    </row>
    <row r="89">
      <c r="A89" s="182">
        <v>423.0</v>
      </c>
      <c r="B89" s="183" t="s">
        <v>52</v>
      </c>
      <c r="C89" s="152" t="str">
        <f>HYPERLINK("https://azurlane.koumakan.jp/Glasgow","Glasglow")</f>
        <v>Glasglow</v>
      </c>
      <c r="D89" s="170" t="s">
        <v>36</v>
      </c>
      <c r="E89" s="170">
        <v>3773.0</v>
      </c>
      <c r="F89" s="170">
        <v>153.0</v>
      </c>
      <c r="G89" s="170">
        <v>276.0</v>
      </c>
      <c r="H89" s="170">
        <v>0.0</v>
      </c>
      <c r="I89" s="170">
        <v>351.0</v>
      </c>
      <c r="J89" s="170">
        <v>174.0</v>
      </c>
      <c r="K89" s="170">
        <v>119.0</v>
      </c>
      <c r="L89" s="170" t="s">
        <v>29</v>
      </c>
      <c r="M89" s="170">
        <v>32.0</v>
      </c>
      <c r="N89" s="170">
        <v>161.0</v>
      </c>
      <c r="O89" s="170">
        <v>81.0</v>
      </c>
      <c r="P89" s="170">
        <v>101.0</v>
      </c>
      <c r="Q89" s="170">
        <v>9.0</v>
      </c>
      <c r="R89" s="170">
        <v>0.0</v>
      </c>
      <c r="S89" s="170">
        <v>0.0</v>
      </c>
      <c r="T89" s="170" t="s">
        <v>104</v>
      </c>
      <c r="U89" s="188" t="s">
        <v>575</v>
      </c>
      <c r="V89" s="190" t="s">
        <v>753</v>
      </c>
      <c r="W89" s="196" t="s">
        <v>551</v>
      </c>
      <c r="X89" s="196" t="s">
        <v>914</v>
      </c>
      <c r="Y89" s="247" t="s">
        <v>52</v>
      </c>
      <c r="Z89" s="247" t="s">
        <v>557</v>
      </c>
      <c r="AA89" s="247" t="s">
        <v>11</v>
      </c>
      <c r="AB89" s="247" t="s">
        <v>915</v>
      </c>
      <c r="AC89" s="247">
        <v>1.0</v>
      </c>
      <c r="AD89" s="247">
        <v>2.0</v>
      </c>
      <c r="AE89" s="247">
        <v>1.0</v>
      </c>
      <c r="AF89" s="247">
        <v>1.0</v>
      </c>
    </row>
    <row r="90" ht="15.75" customHeight="1">
      <c r="A90" s="182">
        <v>428.0</v>
      </c>
      <c r="B90" s="183" t="s">
        <v>52</v>
      </c>
      <c r="C90" s="152" t="str">
        <f>HYPERLINK("https://azurlane.koumakan.jp/Biloxi","Biloxi")</f>
        <v>Biloxi</v>
      </c>
      <c r="D90" s="170" t="s">
        <v>28</v>
      </c>
      <c r="E90" s="191">
        <v>4406.0</v>
      </c>
      <c r="F90" s="170">
        <v>153.0</v>
      </c>
      <c r="G90" s="170">
        <v>0.0</v>
      </c>
      <c r="H90" s="170">
        <v>0.0</v>
      </c>
      <c r="I90" s="170">
        <v>330.0</v>
      </c>
      <c r="J90" s="170">
        <v>190.0</v>
      </c>
      <c r="K90" s="170">
        <v>113.0</v>
      </c>
      <c r="L90" s="170" t="s">
        <v>29</v>
      </c>
      <c r="M90" s="170">
        <v>33.0</v>
      </c>
      <c r="N90" s="170">
        <v>173.0</v>
      </c>
      <c r="O90" s="192">
        <v>68.0</v>
      </c>
      <c r="P90" s="170">
        <v>102.0</v>
      </c>
      <c r="Q90" s="170">
        <v>10.0</v>
      </c>
      <c r="R90" s="170">
        <v>0.0</v>
      </c>
      <c r="S90" s="170">
        <v>0.0</v>
      </c>
      <c r="T90" s="170" t="s">
        <v>37</v>
      </c>
      <c r="U90" s="181" t="s">
        <v>1042</v>
      </c>
      <c r="V90" s="181" t="s">
        <v>1043</v>
      </c>
      <c r="W90" s="170" t="s">
        <v>551</v>
      </c>
      <c r="X90" s="170" t="s">
        <v>900</v>
      </c>
      <c r="Y90" s="170" t="s">
        <v>52</v>
      </c>
      <c r="Z90" s="170" t="s">
        <v>27</v>
      </c>
      <c r="AA90" s="170" t="s">
        <v>11</v>
      </c>
      <c r="AB90" s="170" t="s">
        <v>901</v>
      </c>
      <c r="AC90" s="170">
        <v>2.0</v>
      </c>
      <c r="AD90" s="170">
        <v>0.0</v>
      </c>
      <c r="AE90" s="170">
        <v>0.0</v>
      </c>
      <c r="AF90" s="170">
        <v>1.0</v>
      </c>
    </row>
    <row r="91">
      <c r="A91" s="220">
        <v>434.0</v>
      </c>
      <c r="B91" s="248" t="s">
        <v>52</v>
      </c>
      <c r="C91" s="152" t="str">
        <f>HYPERLINK("https://azurlane.koumakan.jp/Pamiat_Merkuria","Pamiat Merkuria")</f>
        <v>Pamiat Merkuria</v>
      </c>
      <c r="D91" s="191" t="s">
        <v>28</v>
      </c>
      <c r="E91" s="248">
        <v>3130.0</v>
      </c>
      <c r="F91" s="191">
        <v>84.0</v>
      </c>
      <c r="G91" s="248">
        <v>144.0</v>
      </c>
      <c r="H91" s="248">
        <v>0.0</v>
      </c>
      <c r="I91" s="248">
        <v>148.0</v>
      </c>
      <c r="J91" s="248">
        <v>141.0</v>
      </c>
      <c r="K91" s="191">
        <v>103.0</v>
      </c>
      <c r="L91" s="248" t="s">
        <v>71</v>
      </c>
      <c r="M91" s="248">
        <v>23.0</v>
      </c>
      <c r="N91" s="191">
        <v>140.0</v>
      </c>
      <c r="O91" s="248">
        <v>88.0</v>
      </c>
      <c r="P91" s="248">
        <v>56.0</v>
      </c>
      <c r="Q91" s="191">
        <v>10.0</v>
      </c>
      <c r="R91" s="248">
        <v>0.0</v>
      </c>
      <c r="S91" s="248">
        <v>0.0</v>
      </c>
      <c r="T91" s="147" t="s">
        <v>212</v>
      </c>
      <c r="U91" s="193" t="s">
        <v>1044</v>
      </c>
      <c r="V91" s="191" t="s">
        <v>551</v>
      </c>
      <c r="W91" s="191" t="s">
        <v>551</v>
      </c>
      <c r="X91" s="191" t="s">
        <v>1045</v>
      </c>
      <c r="Y91" s="249" t="s">
        <v>52</v>
      </c>
      <c r="Z91" s="249" t="s">
        <v>557</v>
      </c>
      <c r="AA91" s="249" t="s">
        <v>11</v>
      </c>
      <c r="AB91" s="249" t="s">
        <v>1046</v>
      </c>
      <c r="AC91" s="224">
        <v>2.0</v>
      </c>
      <c r="AD91" s="224">
        <v>1.0</v>
      </c>
      <c r="AE91" s="224">
        <v>0.0</v>
      </c>
      <c r="AF91" s="224">
        <v>1.0</v>
      </c>
    </row>
    <row r="92">
      <c r="A92" s="220">
        <v>434.1</v>
      </c>
      <c r="B92" s="222" t="s">
        <v>52</v>
      </c>
      <c r="C92" s="171" t="s">
        <v>288</v>
      </c>
      <c r="D92" s="196" t="s">
        <v>32</v>
      </c>
      <c r="E92" s="222">
        <v>3370.0</v>
      </c>
      <c r="F92" s="222">
        <v>129.0</v>
      </c>
      <c r="G92" s="222">
        <v>164.0</v>
      </c>
      <c r="H92" s="222">
        <v>0.0</v>
      </c>
      <c r="I92" s="222">
        <v>198.0</v>
      </c>
      <c r="J92" s="222">
        <v>141.0</v>
      </c>
      <c r="K92" s="222">
        <v>103.0</v>
      </c>
      <c r="L92" s="222" t="s">
        <v>71</v>
      </c>
      <c r="M92" s="222">
        <v>23.0</v>
      </c>
      <c r="N92" s="222">
        <v>150.0</v>
      </c>
      <c r="O92" s="222">
        <v>88.0</v>
      </c>
      <c r="P92" s="222">
        <v>56.0</v>
      </c>
      <c r="Q92" s="222">
        <v>10.0</v>
      </c>
      <c r="R92" s="222">
        <v>0.0</v>
      </c>
      <c r="S92" s="222">
        <v>0.0</v>
      </c>
      <c r="T92" s="147" t="s">
        <v>212</v>
      </c>
      <c r="U92" s="193" t="s">
        <v>1044</v>
      </c>
      <c r="V92" s="193" t="s">
        <v>1047</v>
      </c>
      <c r="W92" s="196" t="s">
        <v>551</v>
      </c>
      <c r="X92" s="196" t="s">
        <v>1045</v>
      </c>
      <c r="Y92" s="249" t="s">
        <v>27</v>
      </c>
      <c r="Z92" s="249" t="s">
        <v>557</v>
      </c>
      <c r="AA92" s="249" t="s">
        <v>11</v>
      </c>
      <c r="AB92" s="249" t="s">
        <v>1048</v>
      </c>
      <c r="AC92" s="224">
        <v>2.0</v>
      </c>
      <c r="AD92" s="224">
        <v>1.0</v>
      </c>
      <c r="AE92" s="224">
        <v>0.0</v>
      </c>
      <c r="AF92" s="224">
        <v>1.0</v>
      </c>
    </row>
    <row r="93">
      <c r="A93" s="220">
        <v>435.0</v>
      </c>
      <c r="B93" s="222" t="s">
        <v>52</v>
      </c>
      <c r="C93" s="171" t="s">
        <v>289</v>
      </c>
      <c r="D93" s="196" t="s">
        <v>32</v>
      </c>
      <c r="E93" s="222">
        <v>4168.0</v>
      </c>
      <c r="F93" s="222">
        <v>185.0</v>
      </c>
      <c r="G93" s="222">
        <v>300.0</v>
      </c>
      <c r="H93" s="222">
        <v>0.0</v>
      </c>
      <c r="I93" s="222">
        <v>351.0</v>
      </c>
      <c r="J93" s="222">
        <v>190.0</v>
      </c>
      <c r="K93" s="222">
        <v>130.0</v>
      </c>
      <c r="L93" s="222" t="s">
        <v>29</v>
      </c>
      <c r="M93" s="222">
        <v>36.0</v>
      </c>
      <c r="N93" s="222">
        <v>162.0</v>
      </c>
      <c r="O93" s="222">
        <v>52.0</v>
      </c>
      <c r="P93" s="222">
        <v>156.0</v>
      </c>
      <c r="Q93" s="222">
        <v>11.0</v>
      </c>
      <c r="R93" s="222">
        <v>0.0</v>
      </c>
      <c r="S93" s="222">
        <v>0.0</v>
      </c>
      <c r="T93" s="147" t="s">
        <v>212</v>
      </c>
      <c r="U93" s="173" t="s">
        <v>1049</v>
      </c>
      <c r="V93" s="202" t="s">
        <v>1050</v>
      </c>
      <c r="W93" s="196" t="s">
        <v>551</v>
      </c>
      <c r="X93" s="196" t="s">
        <v>1051</v>
      </c>
      <c r="Y93" s="249" t="s">
        <v>52</v>
      </c>
      <c r="Z93" s="249" t="s">
        <v>557</v>
      </c>
      <c r="AA93" s="249" t="s">
        <v>11</v>
      </c>
      <c r="AB93" s="249" t="s">
        <v>1052</v>
      </c>
      <c r="AC93" s="224">
        <v>1.0</v>
      </c>
      <c r="AD93" s="224">
        <v>2.0</v>
      </c>
      <c r="AE93" s="224">
        <v>1.0</v>
      </c>
      <c r="AF93" s="224">
        <v>1.0</v>
      </c>
    </row>
    <row r="94">
      <c r="A94" s="220">
        <v>436.0</v>
      </c>
      <c r="B94" s="248" t="s">
        <v>52</v>
      </c>
      <c r="C94" s="152" t="str">
        <f>HYPERLINK("https://azurlane.koumakan.jp/Chapayev","Chapayev")</f>
        <v>Chapayev</v>
      </c>
      <c r="D94" s="191" t="s">
        <v>32</v>
      </c>
      <c r="E94" s="248">
        <v>4451.0</v>
      </c>
      <c r="F94" s="248">
        <v>174.0</v>
      </c>
      <c r="G94" s="248">
        <v>0.0</v>
      </c>
      <c r="H94" s="248">
        <v>0.0</v>
      </c>
      <c r="I94" s="248">
        <v>341.0</v>
      </c>
      <c r="J94" s="248">
        <v>197.0</v>
      </c>
      <c r="K94" s="248">
        <v>110.0</v>
      </c>
      <c r="L94" s="248" t="s">
        <v>29</v>
      </c>
      <c r="M94" s="248">
        <v>33.0</v>
      </c>
      <c r="N94" s="248">
        <v>168.0</v>
      </c>
      <c r="O94" s="248">
        <v>68.0</v>
      </c>
      <c r="P94" s="248">
        <v>149.0</v>
      </c>
      <c r="Q94" s="191">
        <v>11.0</v>
      </c>
      <c r="R94" s="248">
        <v>0.0</v>
      </c>
      <c r="S94" s="248">
        <v>0.0</v>
      </c>
      <c r="T94" s="147" t="s">
        <v>212</v>
      </c>
      <c r="U94" s="173" t="s">
        <v>1053</v>
      </c>
      <c r="V94" s="202" t="s">
        <v>1054</v>
      </c>
      <c r="W94" s="191" t="s">
        <v>551</v>
      </c>
      <c r="X94" s="191" t="s">
        <v>1055</v>
      </c>
      <c r="Y94" s="249" t="s">
        <v>52</v>
      </c>
      <c r="Z94" s="249" t="s">
        <v>27</v>
      </c>
      <c r="AA94" s="249" t="s">
        <v>11</v>
      </c>
      <c r="AB94" s="249" t="s">
        <v>994</v>
      </c>
      <c r="AC94" s="224">
        <v>2.0</v>
      </c>
      <c r="AD94" s="224">
        <v>0.0</v>
      </c>
      <c r="AE94" s="224">
        <v>0.0</v>
      </c>
      <c r="AF94" s="224">
        <v>1.0</v>
      </c>
    </row>
    <row r="95">
      <c r="A95" s="220">
        <v>445.0</v>
      </c>
      <c r="B95" s="222" t="s">
        <v>52</v>
      </c>
      <c r="C95" s="152" t="str">
        <f>HYPERLINK("https://azurlane.koumakan.jp/Reno","Reno")</f>
        <v>Reno</v>
      </c>
      <c r="D95" s="196" t="s">
        <v>32</v>
      </c>
      <c r="E95" s="222">
        <v>3842.0</v>
      </c>
      <c r="F95" s="222">
        <v>150.0</v>
      </c>
      <c r="G95" s="222">
        <v>199.0</v>
      </c>
      <c r="H95" s="222">
        <v>0.0</v>
      </c>
      <c r="I95" s="222">
        <v>489.0</v>
      </c>
      <c r="J95" s="222">
        <v>193.0</v>
      </c>
      <c r="K95" s="222">
        <v>112.0</v>
      </c>
      <c r="L95" s="222" t="s">
        <v>29</v>
      </c>
      <c r="M95" s="222">
        <v>32.0</v>
      </c>
      <c r="N95" s="222">
        <v>173.0</v>
      </c>
      <c r="O95" s="222">
        <v>52.0</v>
      </c>
      <c r="P95" s="250">
        <v>206.0</v>
      </c>
      <c r="Q95" s="196">
        <v>11.0</v>
      </c>
      <c r="R95" s="222">
        <v>0.0</v>
      </c>
      <c r="S95" s="222">
        <v>0.0</v>
      </c>
      <c r="T95" s="147" t="s">
        <v>37</v>
      </c>
      <c r="U95" s="193" t="s">
        <v>1056</v>
      </c>
      <c r="V95" s="202" t="s">
        <v>1057</v>
      </c>
      <c r="W95" s="191" t="s">
        <v>551</v>
      </c>
      <c r="X95" s="191" t="s">
        <v>1058</v>
      </c>
      <c r="Y95" s="249" t="s">
        <v>677</v>
      </c>
      <c r="Z95" s="249" t="s">
        <v>557</v>
      </c>
      <c r="AA95" s="249" t="s">
        <v>11</v>
      </c>
      <c r="AB95" s="247" t="s">
        <v>1059</v>
      </c>
      <c r="AC95" s="224">
        <v>1.0</v>
      </c>
      <c r="AD95" s="224">
        <v>2.0</v>
      </c>
      <c r="AE95" s="224">
        <v>1.0</v>
      </c>
      <c r="AF95" s="224">
        <v>1.0</v>
      </c>
    </row>
    <row r="96">
      <c r="A96" s="220">
        <v>448.0</v>
      </c>
      <c r="B96" s="222" t="s">
        <v>52</v>
      </c>
      <c r="C96" s="152" t="str">
        <f>HYPERLINK("https://azurlane.koumakan.jp/Marblehead","Marblehead")</f>
        <v>Marblehead</v>
      </c>
      <c r="D96" s="196" t="s">
        <v>36</v>
      </c>
      <c r="E96" s="222">
        <v>3378.0</v>
      </c>
      <c r="F96" s="222">
        <v>137.0</v>
      </c>
      <c r="G96" s="222">
        <v>248.0</v>
      </c>
      <c r="H96" s="222">
        <v>0.0</v>
      </c>
      <c r="I96" s="222">
        <v>292.0</v>
      </c>
      <c r="J96" s="222">
        <v>188.0</v>
      </c>
      <c r="K96" s="222">
        <v>120.0</v>
      </c>
      <c r="L96" s="222" t="s">
        <v>29</v>
      </c>
      <c r="M96" s="222">
        <v>35.0</v>
      </c>
      <c r="N96" s="222">
        <v>156.0</v>
      </c>
      <c r="O96" s="222">
        <v>55.0</v>
      </c>
      <c r="P96" s="222">
        <v>84.0</v>
      </c>
      <c r="Q96" s="196">
        <v>9.0</v>
      </c>
      <c r="R96" s="222">
        <v>0.0</v>
      </c>
      <c r="S96" s="222">
        <v>0.0</v>
      </c>
      <c r="T96" s="147" t="s">
        <v>37</v>
      </c>
      <c r="U96" s="188" t="s">
        <v>562</v>
      </c>
      <c r="V96" s="191" t="s">
        <v>551</v>
      </c>
      <c r="W96" s="191" t="s">
        <v>551</v>
      </c>
      <c r="X96" s="196" t="s">
        <v>879</v>
      </c>
      <c r="Y96" s="249" t="s">
        <v>52</v>
      </c>
      <c r="Z96" s="249" t="s">
        <v>557</v>
      </c>
      <c r="AA96" s="249" t="s">
        <v>11</v>
      </c>
      <c r="AB96" s="249" t="s">
        <v>1008</v>
      </c>
      <c r="AC96" s="224">
        <v>1.0</v>
      </c>
      <c r="AD96" s="224">
        <v>2.0</v>
      </c>
      <c r="AE96" s="224">
        <v>1.0</v>
      </c>
      <c r="AF96" s="224">
        <v>1.0</v>
      </c>
    </row>
    <row r="97">
      <c r="A97" s="156">
        <v>454.0</v>
      </c>
      <c r="B97" s="159" t="s">
        <v>52</v>
      </c>
      <c r="C97" s="157" t="s">
        <v>302</v>
      </c>
      <c r="D97" s="185" t="s">
        <v>32</v>
      </c>
      <c r="E97" s="165">
        <v>3298.0</v>
      </c>
      <c r="F97" s="165">
        <v>155.0</v>
      </c>
      <c r="G97" s="165">
        <v>268.0</v>
      </c>
      <c r="H97" s="165">
        <v>0.0</v>
      </c>
      <c r="I97" s="165">
        <v>282.0</v>
      </c>
      <c r="J97" s="165">
        <v>185.0</v>
      </c>
      <c r="K97" s="165">
        <v>94.0</v>
      </c>
      <c r="L97" s="165" t="s">
        <v>29</v>
      </c>
      <c r="M97" s="165">
        <v>25.0</v>
      </c>
      <c r="N97" s="165">
        <v>183.0</v>
      </c>
      <c r="O97" s="165">
        <v>83.0</v>
      </c>
      <c r="P97" s="165">
        <v>150.0</v>
      </c>
      <c r="Q97" s="165">
        <v>11.0</v>
      </c>
      <c r="R97" s="165">
        <v>0.0</v>
      </c>
      <c r="S97" s="165">
        <v>0.0</v>
      </c>
      <c r="T97" s="147" t="s">
        <v>243</v>
      </c>
      <c r="U97" s="188" t="s">
        <v>1060</v>
      </c>
      <c r="V97" s="190" t="s">
        <v>1061</v>
      </c>
      <c r="W97" s="205" t="s">
        <v>551</v>
      </c>
      <c r="X97" s="159" t="s">
        <v>1062</v>
      </c>
      <c r="Y97" s="160" t="s">
        <v>52</v>
      </c>
      <c r="Z97" s="160" t="s">
        <v>557</v>
      </c>
      <c r="AA97" s="160" t="s">
        <v>11</v>
      </c>
      <c r="AB97" s="160" t="s">
        <v>1063</v>
      </c>
      <c r="AC97" s="218">
        <v>1.0</v>
      </c>
      <c r="AD97" s="218">
        <v>2.0</v>
      </c>
      <c r="AE97" s="218">
        <v>1.0</v>
      </c>
      <c r="AF97" s="218">
        <v>1.0</v>
      </c>
    </row>
    <row r="98">
      <c r="A98" s="156">
        <v>456.0</v>
      </c>
      <c r="B98" s="149" t="s">
        <v>52</v>
      </c>
      <c r="C98" s="157" t="s">
        <v>305</v>
      </c>
      <c r="D98" s="142" t="s">
        <v>28</v>
      </c>
      <c r="E98" s="145">
        <v>3565.0</v>
      </c>
      <c r="F98" s="145">
        <v>174.0</v>
      </c>
      <c r="G98" s="145">
        <v>283.0</v>
      </c>
      <c r="H98" s="145">
        <v>0.0</v>
      </c>
      <c r="I98" s="145">
        <v>316.0</v>
      </c>
      <c r="J98" s="145">
        <v>178.0</v>
      </c>
      <c r="K98" s="145">
        <v>136.0</v>
      </c>
      <c r="L98" s="145" t="s">
        <v>29</v>
      </c>
      <c r="M98" s="145">
        <v>31.0</v>
      </c>
      <c r="N98" s="145">
        <v>177.0</v>
      </c>
      <c r="O98" s="145">
        <v>35.0</v>
      </c>
      <c r="P98" s="145">
        <v>148.0</v>
      </c>
      <c r="Q98" s="145">
        <v>10.0</v>
      </c>
      <c r="R98" s="145">
        <v>0.0</v>
      </c>
      <c r="S98" s="145">
        <v>0.0</v>
      </c>
      <c r="T98" s="147" t="s">
        <v>247</v>
      </c>
      <c r="U98" s="148" t="s">
        <v>1064</v>
      </c>
      <c r="V98" s="164" t="s">
        <v>1065</v>
      </c>
      <c r="W98" s="162" t="s">
        <v>551</v>
      </c>
      <c r="X98" s="149" t="s">
        <v>1066</v>
      </c>
      <c r="Y98" s="147" t="s">
        <v>52</v>
      </c>
      <c r="Z98" s="147" t="s">
        <v>557</v>
      </c>
      <c r="AA98" s="147" t="s">
        <v>11</v>
      </c>
      <c r="AB98" s="147" t="s">
        <v>1067</v>
      </c>
      <c r="AC98" s="218">
        <v>1.0</v>
      </c>
      <c r="AD98" s="218">
        <v>2.0</v>
      </c>
      <c r="AE98" s="218">
        <v>1.0</v>
      </c>
      <c r="AF98" s="218">
        <v>1.0</v>
      </c>
    </row>
    <row r="99">
      <c r="A99" s="220">
        <v>463.0</v>
      </c>
      <c r="B99" s="222" t="s">
        <v>52</v>
      </c>
      <c r="C99" s="152" t="s">
        <v>316</v>
      </c>
      <c r="D99" s="196" t="s">
        <v>32</v>
      </c>
      <c r="E99" s="222">
        <v>3831.0</v>
      </c>
      <c r="F99" s="222">
        <v>161.0</v>
      </c>
      <c r="G99" s="222">
        <v>175.0</v>
      </c>
      <c r="H99" s="222">
        <v>0.0</v>
      </c>
      <c r="I99" s="222">
        <v>389.0</v>
      </c>
      <c r="J99" s="222">
        <v>196.0</v>
      </c>
      <c r="K99" s="222">
        <v>113.0</v>
      </c>
      <c r="L99" s="222" t="s">
        <v>29</v>
      </c>
      <c r="M99" s="222">
        <v>32.0</v>
      </c>
      <c r="N99" s="222">
        <v>164.0</v>
      </c>
      <c r="O99" s="222">
        <v>58.0</v>
      </c>
      <c r="P99" s="222">
        <v>190.0</v>
      </c>
      <c r="Q99" s="222">
        <v>11.0</v>
      </c>
      <c r="R99" s="222">
        <v>0.0</v>
      </c>
      <c r="S99" s="222">
        <v>0.0</v>
      </c>
      <c r="T99" s="147" t="s">
        <v>104</v>
      </c>
      <c r="U99" s="193" t="s">
        <v>1068</v>
      </c>
      <c r="V99" s="202" t="s">
        <v>1069</v>
      </c>
      <c r="W99" s="205" t="s">
        <v>551</v>
      </c>
      <c r="X99" s="193" t="s">
        <v>1070</v>
      </c>
      <c r="Y99" s="191" t="s">
        <v>677</v>
      </c>
      <c r="Z99" s="191" t="s">
        <v>557</v>
      </c>
      <c r="AA99" s="191" t="s">
        <v>11</v>
      </c>
      <c r="AB99" s="191" t="s">
        <v>1071</v>
      </c>
      <c r="AC99" s="191">
        <v>1.0</v>
      </c>
      <c r="AD99" s="191">
        <v>2.0</v>
      </c>
      <c r="AE99" s="191">
        <v>1.0</v>
      </c>
      <c r="AF99" s="191">
        <v>1.0</v>
      </c>
    </row>
    <row r="100" ht="15.75" customHeight="1">
      <c r="A100" s="220">
        <v>476.0</v>
      </c>
      <c r="B100" s="221" t="s">
        <v>52</v>
      </c>
      <c r="C100" s="152" t="s">
        <v>334</v>
      </c>
      <c r="D100" s="183" t="s">
        <v>32</v>
      </c>
      <c r="E100" s="221">
        <v>4012.0</v>
      </c>
      <c r="F100" s="221">
        <v>150.0</v>
      </c>
      <c r="G100" s="221">
        <v>180.0</v>
      </c>
      <c r="H100" s="221">
        <v>0.0</v>
      </c>
      <c r="I100" s="221">
        <v>433.0</v>
      </c>
      <c r="J100" s="221">
        <v>196.0</v>
      </c>
      <c r="K100" s="221">
        <v>114.0</v>
      </c>
      <c r="L100" s="221" t="s">
        <v>29</v>
      </c>
      <c r="M100" s="221">
        <v>32.0</v>
      </c>
      <c r="N100" s="221">
        <v>170.0</v>
      </c>
      <c r="O100" s="221">
        <v>85.0</v>
      </c>
      <c r="P100" s="221">
        <v>171.0</v>
      </c>
      <c r="Q100" s="221">
        <v>11.0</v>
      </c>
      <c r="R100" s="221">
        <v>0.0</v>
      </c>
      <c r="S100" s="221">
        <v>0.0</v>
      </c>
      <c r="T100" s="147" t="s">
        <v>104</v>
      </c>
      <c r="U100" s="181" t="s">
        <v>1072</v>
      </c>
      <c r="V100" s="172" t="s">
        <v>1073</v>
      </c>
      <c r="W100" s="183" t="s">
        <v>551</v>
      </c>
      <c r="X100" s="183" t="s">
        <v>912</v>
      </c>
      <c r="Y100" s="224" t="s">
        <v>677</v>
      </c>
      <c r="Z100" s="224" t="s">
        <v>557</v>
      </c>
      <c r="AA100" s="224" t="s">
        <v>11</v>
      </c>
      <c r="AB100" s="224" t="s">
        <v>1074</v>
      </c>
      <c r="AC100" s="224">
        <v>1.0</v>
      </c>
      <c r="AD100" s="224">
        <v>2.0</v>
      </c>
      <c r="AE100" s="224">
        <v>1.0</v>
      </c>
      <c r="AF100" s="224">
        <v>1.0</v>
      </c>
    </row>
    <row r="101">
      <c r="A101" s="220">
        <v>486.0</v>
      </c>
      <c r="B101" s="222" t="s">
        <v>52</v>
      </c>
      <c r="C101" s="152" t="s">
        <v>348</v>
      </c>
      <c r="D101" s="196" t="s">
        <v>28</v>
      </c>
      <c r="E101" s="222">
        <v>3900.0</v>
      </c>
      <c r="F101" s="222">
        <v>178.0</v>
      </c>
      <c r="G101" s="222">
        <v>308.0</v>
      </c>
      <c r="H101" s="222">
        <v>0.0</v>
      </c>
      <c r="I101" s="222">
        <v>411.0</v>
      </c>
      <c r="J101" s="222">
        <v>194.0</v>
      </c>
      <c r="K101" s="222">
        <v>116.0</v>
      </c>
      <c r="L101" s="222" t="s">
        <v>29</v>
      </c>
      <c r="M101" s="222">
        <v>32.0</v>
      </c>
      <c r="N101" s="222">
        <v>163.0</v>
      </c>
      <c r="O101" s="222">
        <v>80.0</v>
      </c>
      <c r="P101" s="222">
        <v>102.0</v>
      </c>
      <c r="Q101" s="222">
        <v>10.0</v>
      </c>
      <c r="R101" s="222">
        <v>0.0</v>
      </c>
      <c r="S101" s="222">
        <v>0.0</v>
      </c>
      <c r="T101" s="147" t="s">
        <v>193</v>
      </c>
      <c r="U101" s="202" t="s">
        <v>1075</v>
      </c>
      <c r="V101" s="193" t="s">
        <v>1076</v>
      </c>
      <c r="W101" s="196" t="s">
        <v>551</v>
      </c>
      <c r="X101" s="196" t="s">
        <v>959</v>
      </c>
      <c r="Y101" s="249" t="s">
        <v>52</v>
      </c>
      <c r="Z101" s="249" t="s">
        <v>557</v>
      </c>
      <c r="AA101" s="249" t="s">
        <v>11</v>
      </c>
      <c r="AB101" s="249" t="s">
        <v>1077</v>
      </c>
      <c r="AC101" s="224">
        <v>1.0</v>
      </c>
      <c r="AD101" s="224">
        <v>2.0</v>
      </c>
      <c r="AE101" s="224">
        <v>1.0</v>
      </c>
      <c r="AF101" s="224">
        <v>1.0</v>
      </c>
    </row>
    <row r="102">
      <c r="A102" s="220">
        <v>493.0</v>
      </c>
      <c r="B102" s="222" t="s">
        <v>52</v>
      </c>
      <c r="C102" s="171" t="s">
        <v>359</v>
      </c>
      <c r="D102" s="196" t="s">
        <v>28</v>
      </c>
      <c r="E102" s="222">
        <v>2499.0</v>
      </c>
      <c r="F102" s="222">
        <v>71.0</v>
      </c>
      <c r="G102" s="222">
        <v>235.0</v>
      </c>
      <c r="H102" s="222">
        <v>0.0</v>
      </c>
      <c r="I102" s="222">
        <v>133.0</v>
      </c>
      <c r="J102" s="222">
        <v>141.0</v>
      </c>
      <c r="K102" s="222">
        <v>83.0</v>
      </c>
      <c r="L102" s="222" t="s">
        <v>71</v>
      </c>
      <c r="M102" s="222">
        <v>20.0</v>
      </c>
      <c r="N102" s="222">
        <v>159.0</v>
      </c>
      <c r="O102" s="222">
        <v>20.0</v>
      </c>
      <c r="P102" s="222">
        <v>73.0</v>
      </c>
      <c r="Q102" s="222">
        <v>9.0</v>
      </c>
      <c r="R102" s="222">
        <v>0.0</v>
      </c>
      <c r="S102" s="222">
        <v>0.0</v>
      </c>
      <c r="T102" s="147" t="s">
        <v>206</v>
      </c>
      <c r="U102" s="202" t="s">
        <v>1078</v>
      </c>
      <c r="V102" s="194" t="s">
        <v>1079</v>
      </c>
      <c r="W102" s="196" t="s">
        <v>551</v>
      </c>
      <c r="X102" s="196" t="s">
        <v>1080</v>
      </c>
      <c r="Y102" s="249" t="s">
        <v>52</v>
      </c>
      <c r="Z102" s="249" t="s">
        <v>27</v>
      </c>
      <c r="AA102" s="249" t="s">
        <v>557</v>
      </c>
      <c r="AB102" s="249" t="s">
        <v>1081</v>
      </c>
      <c r="AC102" s="249">
        <v>2.0</v>
      </c>
      <c r="AD102" s="249">
        <v>1.0</v>
      </c>
      <c r="AE102" s="249">
        <v>0.0</v>
      </c>
      <c r="AF102" s="249">
        <v>0.0</v>
      </c>
    </row>
    <row r="103">
      <c r="A103" s="220">
        <v>494.0</v>
      </c>
      <c r="B103" s="222" t="s">
        <v>52</v>
      </c>
      <c r="C103" s="171" t="s">
        <v>360</v>
      </c>
      <c r="D103" s="196" t="s">
        <v>28</v>
      </c>
      <c r="E103" s="222">
        <v>2596.0</v>
      </c>
      <c r="F103" s="222">
        <v>71.0</v>
      </c>
      <c r="G103" s="222">
        <v>235.0</v>
      </c>
      <c r="H103" s="222">
        <v>0.0</v>
      </c>
      <c r="I103" s="222">
        <v>131.0</v>
      </c>
      <c r="J103" s="222">
        <v>141.0</v>
      </c>
      <c r="K103" s="222">
        <v>83.0</v>
      </c>
      <c r="L103" s="222" t="s">
        <v>71</v>
      </c>
      <c r="M103" s="222">
        <v>20.0</v>
      </c>
      <c r="N103" s="222">
        <v>159.0</v>
      </c>
      <c r="O103" s="222">
        <v>20.0</v>
      </c>
      <c r="P103" s="222">
        <v>73.0</v>
      </c>
      <c r="Q103" s="222">
        <v>9.0</v>
      </c>
      <c r="R103" s="222">
        <v>0.0</v>
      </c>
      <c r="S103" s="222">
        <v>0.0</v>
      </c>
      <c r="T103" s="147" t="s">
        <v>206</v>
      </c>
      <c r="U103" s="202" t="s">
        <v>1082</v>
      </c>
      <c r="V103" s="194" t="s">
        <v>1083</v>
      </c>
      <c r="W103" s="196" t="s">
        <v>551</v>
      </c>
      <c r="X103" s="196" t="s">
        <v>1080</v>
      </c>
      <c r="Y103" s="249" t="s">
        <v>52</v>
      </c>
      <c r="Z103" s="249" t="s">
        <v>27</v>
      </c>
      <c r="AA103" s="249" t="s">
        <v>557</v>
      </c>
      <c r="AB103" s="249" t="s">
        <v>1081</v>
      </c>
      <c r="AC103" s="249">
        <v>2.0</v>
      </c>
      <c r="AD103" s="249">
        <v>1.0</v>
      </c>
      <c r="AE103" s="249">
        <v>0.0</v>
      </c>
      <c r="AF103" s="249">
        <v>0.0</v>
      </c>
    </row>
    <row r="104">
      <c r="A104" s="220">
        <v>495.0</v>
      </c>
      <c r="B104" s="222" t="s">
        <v>52</v>
      </c>
      <c r="C104" s="171" t="s">
        <v>361</v>
      </c>
      <c r="D104" s="196" t="s">
        <v>28</v>
      </c>
      <c r="E104" s="222">
        <v>2982.0</v>
      </c>
      <c r="F104" s="222">
        <v>161.0</v>
      </c>
      <c r="G104" s="222">
        <v>282.0</v>
      </c>
      <c r="H104" s="222">
        <v>0.0</v>
      </c>
      <c r="I104" s="222">
        <v>341.0</v>
      </c>
      <c r="J104" s="222">
        <v>196.0</v>
      </c>
      <c r="K104" s="222">
        <v>119.0</v>
      </c>
      <c r="L104" s="222" t="s">
        <v>29</v>
      </c>
      <c r="M104" s="222">
        <v>32.0</v>
      </c>
      <c r="N104" s="222">
        <v>175.0</v>
      </c>
      <c r="O104" s="222">
        <v>52.0</v>
      </c>
      <c r="P104" s="222">
        <v>119.0</v>
      </c>
      <c r="Q104" s="222">
        <v>10.0</v>
      </c>
      <c r="R104" s="222">
        <v>0.0</v>
      </c>
      <c r="S104" s="222">
        <v>0.0</v>
      </c>
      <c r="T104" s="147" t="s">
        <v>104</v>
      </c>
      <c r="U104" s="193" t="s">
        <v>1084</v>
      </c>
      <c r="V104" s="194" t="s">
        <v>1085</v>
      </c>
      <c r="W104" s="196" t="s">
        <v>551</v>
      </c>
      <c r="X104" s="196" t="s">
        <v>927</v>
      </c>
      <c r="Y104" s="247" t="s">
        <v>52</v>
      </c>
      <c r="Z104" s="247" t="s">
        <v>557</v>
      </c>
      <c r="AA104" s="247" t="s">
        <v>11</v>
      </c>
      <c r="AB104" s="247" t="s">
        <v>931</v>
      </c>
      <c r="AC104" s="247">
        <v>1.0</v>
      </c>
      <c r="AD104" s="247">
        <v>2.0</v>
      </c>
      <c r="AE104" s="247">
        <v>1.0</v>
      </c>
      <c r="AF104" s="247">
        <v>1.0</v>
      </c>
    </row>
    <row r="105">
      <c r="A105" s="220">
        <v>498.0</v>
      </c>
      <c r="B105" s="222" t="s">
        <v>52</v>
      </c>
      <c r="C105" s="171" t="s">
        <v>365</v>
      </c>
      <c r="D105" s="196" t="s">
        <v>28</v>
      </c>
      <c r="E105" s="222">
        <v>3475.0</v>
      </c>
      <c r="F105" s="222">
        <v>159.0</v>
      </c>
      <c r="G105" s="222">
        <v>265.0</v>
      </c>
      <c r="H105" s="222">
        <v>0.0</v>
      </c>
      <c r="I105" s="222">
        <v>299.0</v>
      </c>
      <c r="J105" s="222">
        <v>193.0</v>
      </c>
      <c r="K105" s="222">
        <v>120.0</v>
      </c>
      <c r="L105" s="222" t="s">
        <v>29</v>
      </c>
      <c r="M105" s="222">
        <v>35.0</v>
      </c>
      <c r="N105" s="222">
        <v>156.0</v>
      </c>
      <c r="O105" s="222">
        <v>65.0</v>
      </c>
      <c r="P105" s="222">
        <v>130.0</v>
      </c>
      <c r="Q105" s="222">
        <v>10.0</v>
      </c>
      <c r="R105" s="222">
        <v>0.0</v>
      </c>
      <c r="S105" s="222">
        <v>0.0</v>
      </c>
      <c r="T105" s="147" t="s">
        <v>212</v>
      </c>
      <c r="U105" s="193" t="s">
        <v>1086</v>
      </c>
      <c r="V105" s="194" t="s">
        <v>1087</v>
      </c>
      <c r="W105" s="196" t="s">
        <v>551</v>
      </c>
      <c r="X105" s="196" t="s">
        <v>879</v>
      </c>
      <c r="Y105" s="249" t="s">
        <v>52</v>
      </c>
      <c r="Z105" s="249" t="s">
        <v>557</v>
      </c>
      <c r="AA105" s="249" t="s">
        <v>11</v>
      </c>
      <c r="AB105" s="249" t="s">
        <v>880</v>
      </c>
      <c r="AC105" s="224">
        <v>1.0</v>
      </c>
      <c r="AD105" s="224">
        <v>2.0</v>
      </c>
      <c r="AE105" s="224">
        <v>1.0</v>
      </c>
      <c r="AF105" s="224">
        <v>1.0</v>
      </c>
    </row>
    <row r="106">
      <c r="A106" s="220">
        <v>501.0</v>
      </c>
      <c r="B106" s="222" t="s">
        <v>52</v>
      </c>
      <c r="C106" s="171" t="s">
        <v>370</v>
      </c>
      <c r="D106" s="196" t="s">
        <v>32</v>
      </c>
      <c r="E106" s="222">
        <v>4460.0</v>
      </c>
      <c r="F106" s="222">
        <v>161.0</v>
      </c>
      <c r="G106" s="222">
        <v>324.0</v>
      </c>
      <c r="H106" s="222">
        <v>0.0</v>
      </c>
      <c r="I106" s="222">
        <v>379.0</v>
      </c>
      <c r="J106" s="222">
        <v>183.0</v>
      </c>
      <c r="K106" s="222">
        <v>113.0</v>
      </c>
      <c r="L106" s="222" t="s">
        <v>29</v>
      </c>
      <c r="M106" s="222">
        <v>35.0</v>
      </c>
      <c r="N106" s="222">
        <v>177.0</v>
      </c>
      <c r="O106" s="222">
        <v>85.0</v>
      </c>
      <c r="P106" s="222">
        <v>99.0</v>
      </c>
      <c r="Q106" s="222">
        <v>11.0</v>
      </c>
      <c r="R106" s="222">
        <v>0.0</v>
      </c>
      <c r="S106" s="222">
        <v>0.0</v>
      </c>
      <c r="T106" s="147" t="s">
        <v>269</v>
      </c>
      <c r="U106" s="193" t="s">
        <v>1088</v>
      </c>
      <c r="V106" s="202" t="s">
        <v>1089</v>
      </c>
      <c r="W106" s="194" t="s">
        <v>1090</v>
      </c>
      <c r="X106" s="196" t="s">
        <v>1091</v>
      </c>
      <c r="Y106" s="249" t="s">
        <v>52</v>
      </c>
      <c r="Z106" s="249" t="s">
        <v>557</v>
      </c>
      <c r="AA106" s="249" t="s">
        <v>11</v>
      </c>
      <c r="AB106" s="249" t="s">
        <v>1092</v>
      </c>
      <c r="AC106" s="224">
        <v>1.0</v>
      </c>
      <c r="AD106" s="224">
        <v>2.0</v>
      </c>
      <c r="AE106" s="224">
        <v>1.0</v>
      </c>
      <c r="AF106" s="224">
        <v>1.0</v>
      </c>
    </row>
    <row r="107">
      <c r="A107" s="220">
        <v>514.0</v>
      </c>
      <c r="B107" s="222" t="s">
        <v>52</v>
      </c>
      <c r="C107" s="171" t="s">
        <v>386</v>
      </c>
      <c r="D107" s="196" t="s">
        <v>28</v>
      </c>
      <c r="E107" s="222">
        <v>3644.0</v>
      </c>
      <c r="F107" s="222">
        <v>167.0</v>
      </c>
      <c r="G107" s="222">
        <v>0.0</v>
      </c>
      <c r="H107" s="222">
        <v>0.0</v>
      </c>
      <c r="I107" s="222">
        <v>334.0</v>
      </c>
      <c r="J107" s="222">
        <v>191.0</v>
      </c>
      <c r="K107" s="222">
        <v>106.0</v>
      </c>
      <c r="L107" s="222" t="s">
        <v>29</v>
      </c>
      <c r="M107" s="222">
        <v>32.0</v>
      </c>
      <c r="N107" s="222">
        <v>168.0</v>
      </c>
      <c r="O107" s="222">
        <v>70.0</v>
      </c>
      <c r="P107" s="222">
        <v>102.0</v>
      </c>
      <c r="Q107" s="222">
        <v>10.0</v>
      </c>
      <c r="R107" s="222">
        <v>0.0</v>
      </c>
      <c r="S107" s="222">
        <v>0.0</v>
      </c>
      <c r="T107" s="147" t="s">
        <v>37</v>
      </c>
      <c r="U107" s="193" t="s">
        <v>1093</v>
      </c>
      <c r="V107" s="202" t="s">
        <v>1094</v>
      </c>
      <c r="W107" s="191" t="s">
        <v>551</v>
      </c>
      <c r="X107" s="196" t="s">
        <v>882</v>
      </c>
      <c r="Y107" s="249" t="s">
        <v>52</v>
      </c>
      <c r="Z107" s="249" t="s">
        <v>27</v>
      </c>
      <c r="AA107" s="249" t="s">
        <v>11</v>
      </c>
      <c r="AB107" s="249" t="s">
        <v>1095</v>
      </c>
      <c r="AC107" s="224">
        <v>2.0</v>
      </c>
      <c r="AD107" s="224">
        <v>0.0</v>
      </c>
      <c r="AE107" s="224">
        <v>0.0</v>
      </c>
      <c r="AF107" s="224">
        <v>1.0</v>
      </c>
    </row>
    <row r="108">
      <c r="A108" s="220" t="s">
        <v>401</v>
      </c>
      <c r="B108" s="222" t="s">
        <v>52</v>
      </c>
      <c r="C108" s="171" t="s">
        <v>402</v>
      </c>
      <c r="D108" s="196" t="s">
        <v>32</v>
      </c>
      <c r="E108" s="222">
        <v>4246.0</v>
      </c>
      <c r="F108" s="222">
        <v>177.0</v>
      </c>
      <c r="G108" s="222">
        <v>0.0</v>
      </c>
      <c r="H108" s="222">
        <v>0.0</v>
      </c>
      <c r="I108" s="222">
        <v>419.0</v>
      </c>
      <c r="J108" s="222">
        <v>198.0</v>
      </c>
      <c r="K108" s="222">
        <v>97.0</v>
      </c>
      <c r="L108" s="222" t="s">
        <v>29</v>
      </c>
      <c r="M108" s="222">
        <v>33.0</v>
      </c>
      <c r="N108" s="222">
        <v>187.0</v>
      </c>
      <c r="O108" s="222">
        <v>33.0</v>
      </c>
      <c r="P108" s="222">
        <v>158.0</v>
      </c>
      <c r="Q108" s="222">
        <v>12.0</v>
      </c>
      <c r="R108" s="222">
        <v>0.0</v>
      </c>
      <c r="S108" s="222">
        <v>0.0</v>
      </c>
      <c r="T108" s="147" t="s">
        <v>397</v>
      </c>
      <c r="U108" s="173" t="s">
        <v>1096</v>
      </c>
      <c r="V108" s="172" t="s">
        <v>1097</v>
      </c>
      <c r="W108" s="194" t="s">
        <v>1098</v>
      </c>
      <c r="X108" s="202" t="s">
        <v>1099</v>
      </c>
      <c r="Y108" s="249" t="s">
        <v>52</v>
      </c>
      <c r="Z108" s="249" t="s">
        <v>27</v>
      </c>
      <c r="AA108" s="249" t="s">
        <v>11</v>
      </c>
      <c r="AB108" s="249" t="s">
        <v>883</v>
      </c>
      <c r="AC108" s="224">
        <v>2.0</v>
      </c>
      <c r="AD108" s="224">
        <v>0.0</v>
      </c>
      <c r="AE108" s="224">
        <v>0.0</v>
      </c>
      <c r="AF108" s="224">
        <v>1.0</v>
      </c>
    </row>
    <row r="109">
      <c r="A109" s="156" t="s">
        <v>408</v>
      </c>
      <c r="B109" s="159" t="s">
        <v>52</v>
      </c>
      <c r="C109" s="157" t="str">
        <f>HYPERLINK("https://azurlane.koumakan.jp/HDN_Neptune","Neptune (Neptunia)")</f>
        <v>Neptune (Neptunia)</v>
      </c>
      <c r="D109" s="185" t="s">
        <v>28</v>
      </c>
      <c r="E109" s="144">
        <v>3509.0</v>
      </c>
      <c r="F109" s="144">
        <v>154.0</v>
      </c>
      <c r="G109" s="144">
        <v>293.0</v>
      </c>
      <c r="H109" s="144">
        <v>0.0</v>
      </c>
      <c r="I109" s="144">
        <v>308.0</v>
      </c>
      <c r="J109" s="144">
        <v>174.0</v>
      </c>
      <c r="K109" s="144">
        <v>118.0</v>
      </c>
      <c r="L109" s="144" t="s">
        <v>29</v>
      </c>
      <c r="M109" s="144">
        <v>31.0</v>
      </c>
      <c r="N109" s="165">
        <v>162.0</v>
      </c>
      <c r="O109" s="165">
        <v>73.0</v>
      </c>
      <c r="P109" s="144">
        <v>123.0</v>
      </c>
      <c r="Q109" s="144">
        <v>10.0</v>
      </c>
      <c r="R109" s="144">
        <v>0.0</v>
      </c>
      <c r="S109" s="144">
        <v>0.0</v>
      </c>
      <c r="T109" s="147" t="s">
        <v>409</v>
      </c>
      <c r="U109" s="206" t="s">
        <v>1100</v>
      </c>
      <c r="V109" s="159" t="s">
        <v>551</v>
      </c>
      <c r="W109" s="159" t="s">
        <v>551</v>
      </c>
      <c r="X109" s="159" t="s">
        <v>551</v>
      </c>
      <c r="Y109" s="160" t="s">
        <v>52</v>
      </c>
      <c r="Z109" s="160" t="s">
        <v>557</v>
      </c>
      <c r="AA109" s="160" t="s">
        <v>11</v>
      </c>
      <c r="AB109" s="160" t="s">
        <v>997</v>
      </c>
      <c r="AC109" s="216">
        <v>1.0</v>
      </c>
      <c r="AD109" s="216">
        <v>2.0</v>
      </c>
      <c r="AE109" s="216">
        <v>1.0</v>
      </c>
      <c r="AF109" s="216">
        <v>1.0</v>
      </c>
    </row>
    <row r="110">
      <c r="A110" s="156" t="s">
        <v>416</v>
      </c>
      <c r="B110" s="159" t="s">
        <v>52</v>
      </c>
      <c r="C110" s="157" t="str">
        <f>HYPERLINK("https://azurlane.koumakan.jp/Purple_Heart","Purple Heart")</f>
        <v>Purple Heart</v>
      </c>
      <c r="D110" s="185" t="s">
        <v>32</v>
      </c>
      <c r="E110" s="144">
        <v>3779.0</v>
      </c>
      <c r="F110" s="144">
        <v>168.0</v>
      </c>
      <c r="G110" s="144">
        <v>313.0</v>
      </c>
      <c r="H110" s="144">
        <v>0.0</v>
      </c>
      <c r="I110" s="144">
        <v>319.0</v>
      </c>
      <c r="J110" s="144">
        <v>181.0</v>
      </c>
      <c r="K110" s="144">
        <v>120.0</v>
      </c>
      <c r="L110" s="144" t="s">
        <v>29</v>
      </c>
      <c r="M110" s="144">
        <v>31.0</v>
      </c>
      <c r="N110" s="165">
        <v>162.0</v>
      </c>
      <c r="O110" s="165">
        <v>87.0</v>
      </c>
      <c r="P110" s="144">
        <v>130.0</v>
      </c>
      <c r="Q110" s="144">
        <v>11.0</v>
      </c>
      <c r="R110" s="144">
        <v>0.0</v>
      </c>
      <c r="S110" s="144">
        <v>0.0</v>
      </c>
      <c r="T110" s="147" t="s">
        <v>409</v>
      </c>
      <c r="U110" s="188" t="s">
        <v>1101</v>
      </c>
      <c r="V110" s="188" t="s">
        <v>1102</v>
      </c>
      <c r="W110" s="188" t="s">
        <v>1103</v>
      </c>
      <c r="X110" s="159" t="s">
        <v>551</v>
      </c>
      <c r="Y110" s="160" t="s">
        <v>52</v>
      </c>
      <c r="Z110" s="160" t="s">
        <v>557</v>
      </c>
      <c r="AA110" s="160" t="s">
        <v>11</v>
      </c>
      <c r="AB110" s="160" t="s">
        <v>1104</v>
      </c>
      <c r="AC110" s="217">
        <v>1.0</v>
      </c>
      <c r="AD110" s="217">
        <v>2.0</v>
      </c>
      <c r="AE110" s="217">
        <v>1.0</v>
      </c>
      <c r="AF110" s="217">
        <v>1.0</v>
      </c>
    </row>
    <row r="111">
      <c r="A111" s="220" t="s">
        <v>447</v>
      </c>
      <c r="B111" s="222" t="s">
        <v>52</v>
      </c>
      <c r="C111" s="152" t="s">
        <v>448</v>
      </c>
      <c r="D111" s="196" t="s">
        <v>32</v>
      </c>
      <c r="E111" s="222">
        <v>3971.0</v>
      </c>
      <c r="F111" s="222">
        <v>170.0</v>
      </c>
      <c r="G111" s="222">
        <v>0.0</v>
      </c>
      <c r="H111" s="222">
        <v>0.0</v>
      </c>
      <c r="I111" s="222">
        <v>333.0</v>
      </c>
      <c r="J111" s="222">
        <v>197.0</v>
      </c>
      <c r="K111" s="222">
        <v>109.0</v>
      </c>
      <c r="L111" s="222" t="s">
        <v>29</v>
      </c>
      <c r="M111" s="222">
        <v>33.0</v>
      </c>
      <c r="N111" s="222">
        <v>167.0</v>
      </c>
      <c r="O111" s="222">
        <v>89.0</v>
      </c>
      <c r="P111" s="222">
        <v>156.0</v>
      </c>
      <c r="Q111" s="222">
        <v>11.0</v>
      </c>
      <c r="R111" s="222">
        <v>0.0</v>
      </c>
      <c r="S111" s="222">
        <v>0.0</v>
      </c>
      <c r="T111" s="170" t="s">
        <v>441</v>
      </c>
      <c r="U111" s="202" t="s">
        <v>1105</v>
      </c>
      <c r="V111" s="193" t="s">
        <v>1106</v>
      </c>
      <c r="W111" s="191" t="s">
        <v>551</v>
      </c>
      <c r="X111" s="191" t="s">
        <v>551</v>
      </c>
      <c r="Y111" s="191" t="s">
        <v>52</v>
      </c>
      <c r="Z111" s="191" t="s">
        <v>27</v>
      </c>
      <c r="AA111" s="191" t="s">
        <v>11</v>
      </c>
      <c r="AB111" s="191" t="s">
        <v>1107</v>
      </c>
      <c r="AC111" s="170">
        <v>2.0</v>
      </c>
      <c r="AD111" s="170">
        <v>0.0</v>
      </c>
      <c r="AE111" s="170">
        <v>0.0</v>
      </c>
      <c r="AF111" s="170">
        <v>1.0</v>
      </c>
    </row>
    <row r="112">
      <c r="A112" s="220" t="s">
        <v>455</v>
      </c>
      <c r="B112" s="222" t="s">
        <v>52</v>
      </c>
      <c r="C112" s="152" t="s">
        <v>456</v>
      </c>
      <c r="D112" s="196" t="s">
        <v>28</v>
      </c>
      <c r="E112" s="222">
        <v>3861.0</v>
      </c>
      <c r="F112" s="222">
        <v>150.0</v>
      </c>
      <c r="G112" s="222">
        <v>296.0</v>
      </c>
      <c r="H112" s="222">
        <v>0.0</v>
      </c>
      <c r="I112" s="222">
        <v>363.0</v>
      </c>
      <c r="J112" s="222">
        <v>184.0</v>
      </c>
      <c r="K112" s="222">
        <v>118.0</v>
      </c>
      <c r="L112" s="222" t="s">
        <v>29</v>
      </c>
      <c r="M112" s="222">
        <v>32.0</v>
      </c>
      <c r="N112" s="222">
        <v>164.0</v>
      </c>
      <c r="O112" s="222">
        <v>88.0</v>
      </c>
      <c r="P112" s="222">
        <v>88.0</v>
      </c>
      <c r="Q112" s="222">
        <v>10.0</v>
      </c>
      <c r="R112" s="222">
        <v>0.0</v>
      </c>
      <c r="S112" s="222">
        <v>0.0</v>
      </c>
      <c r="T112" s="147" t="s">
        <v>441</v>
      </c>
      <c r="U112" s="193" t="s">
        <v>1108</v>
      </c>
      <c r="V112" s="202" t="s">
        <v>1109</v>
      </c>
      <c r="W112" s="191" t="s">
        <v>551</v>
      </c>
      <c r="X112" s="191" t="s">
        <v>551</v>
      </c>
      <c r="Y112" s="191" t="s">
        <v>52</v>
      </c>
      <c r="Z112" s="191" t="s">
        <v>557</v>
      </c>
      <c r="AA112" s="191" t="s">
        <v>11</v>
      </c>
      <c r="AB112" s="191" t="s">
        <v>1110</v>
      </c>
      <c r="AC112" s="170">
        <v>1.0</v>
      </c>
      <c r="AD112" s="170">
        <v>2.0</v>
      </c>
      <c r="AE112" s="170">
        <v>1.0</v>
      </c>
      <c r="AF112" s="170">
        <v>1.0</v>
      </c>
    </row>
    <row r="113">
      <c r="A113" s="220" t="s">
        <v>457</v>
      </c>
      <c r="B113" s="222" t="s">
        <v>52</v>
      </c>
      <c r="C113" s="171" t="s">
        <v>458</v>
      </c>
      <c r="D113" s="196" t="s">
        <v>32</v>
      </c>
      <c r="E113" s="222">
        <v>4114.0</v>
      </c>
      <c r="F113" s="222">
        <v>165.0</v>
      </c>
      <c r="G113" s="222">
        <v>365.0</v>
      </c>
      <c r="H113" s="222">
        <v>0.0</v>
      </c>
      <c r="I113" s="222">
        <v>366.0</v>
      </c>
      <c r="J113" s="222">
        <v>195.0</v>
      </c>
      <c r="K113" s="196">
        <v>113.0</v>
      </c>
      <c r="L113" s="222" t="s">
        <v>29</v>
      </c>
      <c r="M113" s="222">
        <v>32.0</v>
      </c>
      <c r="N113" s="222">
        <v>165.0</v>
      </c>
      <c r="O113" s="222">
        <v>83.0</v>
      </c>
      <c r="P113" s="222">
        <v>149.0</v>
      </c>
      <c r="Q113" s="222">
        <v>11.0</v>
      </c>
      <c r="R113" s="222">
        <v>0.0</v>
      </c>
      <c r="S113" s="222">
        <v>0.0</v>
      </c>
      <c r="T113" s="147" t="s">
        <v>459</v>
      </c>
      <c r="U113" s="193" t="s">
        <v>1111</v>
      </c>
      <c r="V113" s="202" t="s">
        <v>1112</v>
      </c>
      <c r="W113" s="193" t="s">
        <v>1113</v>
      </c>
      <c r="X113" s="196" t="s">
        <v>551</v>
      </c>
      <c r="Y113" s="249" t="s">
        <v>52</v>
      </c>
      <c r="Z113" s="249" t="s">
        <v>557</v>
      </c>
      <c r="AA113" s="249" t="s">
        <v>11</v>
      </c>
      <c r="AB113" s="249" t="s">
        <v>1029</v>
      </c>
      <c r="AC113" s="224">
        <v>1.0</v>
      </c>
      <c r="AD113" s="224">
        <v>2.0</v>
      </c>
      <c r="AE113" s="224">
        <v>1.0</v>
      </c>
      <c r="AF113" s="224">
        <v>1.0</v>
      </c>
    </row>
    <row r="114">
      <c r="A114" s="156" t="s">
        <v>472</v>
      </c>
      <c r="B114" s="159" t="s">
        <v>52</v>
      </c>
      <c r="C114" s="157" t="str">
        <f>HYPERLINK("https://azurlane.koumakan.jp/HMS_Neptune","Neptune")</f>
        <v>Neptune</v>
      </c>
      <c r="D114" s="185" t="s">
        <v>473</v>
      </c>
      <c r="E114" s="144">
        <v>4742.0</v>
      </c>
      <c r="F114" s="144">
        <v>175.0</v>
      </c>
      <c r="G114" s="144">
        <v>359.0</v>
      </c>
      <c r="H114" s="144">
        <v>0.0</v>
      </c>
      <c r="I114" s="144">
        <v>371.0</v>
      </c>
      <c r="J114" s="144">
        <v>166.0</v>
      </c>
      <c r="K114" s="144">
        <v>100.0</v>
      </c>
      <c r="L114" s="144" t="s">
        <v>29</v>
      </c>
      <c r="M114" s="144">
        <v>33.0</v>
      </c>
      <c r="N114" s="165">
        <v>162.0</v>
      </c>
      <c r="O114" s="165">
        <v>15.0</v>
      </c>
      <c r="P114" s="144">
        <v>155.0</v>
      </c>
      <c r="Q114" s="144">
        <v>12.0</v>
      </c>
      <c r="R114" s="144">
        <v>0.0</v>
      </c>
      <c r="S114" s="144">
        <v>0.0</v>
      </c>
      <c r="T114" s="147" t="s">
        <v>104</v>
      </c>
      <c r="U114" s="188" t="s">
        <v>1114</v>
      </c>
      <c r="V114" s="190" t="s">
        <v>1115</v>
      </c>
      <c r="W114" s="209" t="s">
        <v>873</v>
      </c>
      <c r="X114" s="159" t="s">
        <v>1116</v>
      </c>
      <c r="Y114" s="160" t="s">
        <v>52</v>
      </c>
      <c r="Z114" s="160" t="s">
        <v>557</v>
      </c>
      <c r="AA114" s="160" t="s">
        <v>11</v>
      </c>
      <c r="AB114" s="160" t="s">
        <v>1117</v>
      </c>
      <c r="AC114" s="216">
        <v>1.0</v>
      </c>
      <c r="AD114" s="216">
        <v>2.0</v>
      </c>
      <c r="AE114" s="216">
        <v>1.0</v>
      </c>
      <c r="AF114" s="216">
        <v>1.0</v>
      </c>
    </row>
    <row r="115">
      <c r="A115" s="156" t="s">
        <v>480</v>
      </c>
      <c r="B115" s="159" t="s">
        <v>52</v>
      </c>
      <c r="C115" s="157" t="str">
        <f>HYPERLINK("https://azurlane.koumakan.jp/Seattle","Seattle")</f>
        <v>Seattle</v>
      </c>
      <c r="D115" s="185" t="s">
        <v>473</v>
      </c>
      <c r="E115" s="165">
        <v>5376.0</v>
      </c>
      <c r="F115" s="165">
        <v>182.0</v>
      </c>
      <c r="G115" s="165">
        <v>0.0</v>
      </c>
      <c r="H115" s="165">
        <v>0.0</v>
      </c>
      <c r="I115" s="165">
        <v>373.0</v>
      </c>
      <c r="J115" s="165">
        <v>158.0</v>
      </c>
      <c r="K115" s="165">
        <v>100.0</v>
      </c>
      <c r="L115" s="165" t="s">
        <v>29</v>
      </c>
      <c r="M115" s="165">
        <v>33.0</v>
      </c>
      <c r="N115" s="165">
        <v>161.0</v>
      </c>
      <c r="O115" s="165">
        <v>15.0</v>
      </c>
      <c r="P115" s="165">
        <v>157.0</v>
      </c>
      <c r="Q115" s="165">
        <v>12.0</v>
      </c>
      <c r="R115" s="165">
        <v>0.0</v>
      </c>
      <c r="S115" s="165">
        <v>0.0</v>
      </c>
      <c r="T115" s="147" t="s">
        <v>37</v>
      </c>
      <c r="U115" s="190" t="s">
        <v>1118</v>
      </c>
      <c r="V115" s="206" t="s">
        <v>1119</v>
      </c>
      <c r="W115" s="209" t="s">
        <v>873</v>
      </c>
      <c r="X115" s="159" t="s">
        <v>1120</v>
      </c>
      <c r="Y115" s="160" t="s">
        <v>52</v>
      </c>
      <c r="Z115" s="160" t="s">
        <v>1121</v>
      </c>
      <c r="AA115" s="160" t="s">
        <v>11</v>
      </c>
      <c r="AB115" s="160" t="s">
        <v>1122</v>
      </c>
      <c r="AC115" s="251">
        <v>43499.0</v>
      </c>
      <c r="AD115" s="217">
        <v>0.0</v>
      </c>
      <c r="AE115" s="217">
        <v>0.0</v>
      </c>
      <c r="AF115" s="251">
        <v>43467.0</v>
      </c>
    </row>
    <row r="116">
      <c r="A116" s="220" t="s">
        <v>492</v>
      </c>
      <c r="B116" s="222" t="s">
        <v>52</v>
      </c>
      <c r="C116" s="152" t="s">
        <v>493</v>
      </c>
      <c r="D116" s="196" t="s">
        <v>473</v>
      </c>
      <c r="E116" s="250">
        <v>5382.0</v>
      </c>
      <c r="F116" s="222">
        <v>171.0</v>
      </c>
      <c r="G116" s="222">
        <v>197.0</v>
      </c>
      <c r="H116" s="222">
        <v>0.0</v>
      </c>
      <c r="I116" s="222">
        <v>361.0</v>
      </c>
      <c r="J116" s="222">
        <v>185.0</v>
      </c>
      <c r="K116" s="222">
        <v>78.0</v>
      </c>
      <c r="L116" s="222" t="s">
        <v>71</v>
      </c>
      <c r="M116" s="222">
        <v>25.0</v>
      </c>
      <c r="N116" s="222">
        <v>131.0</v>
      </c>
      <c r="O116" s="222">
        <v>15.0</v>
      </c>
      <c r="P116" s="222">
        <v>122.0</v>
      </c>
      <c r="Q116" s="222">
        <v>12.0</v>
      </c>
      <c r="R116" s="222">
        <v>0.0</v>
      </c>
      <c r="S116" s="222">
        <v>0.0</v>
      </c>
      <c r="T116" s="147" t="s">
        <v>193</v>
      </c>
      <c r="U116" s="194" t="s">
        <v>1123</v>
      </c>
      <c r="V116" s="193" t="s">
        <v>1124</v>
      </c>
      <c r="W116" s="209" t="s">
        <v>873</v>
      </c>
      <c r="X116" s="193" t="s">
        <v>1125</v>
      </c>
      <c r="Y116" s="249" t="s">
        <v>52</v>
      </c>
      <c r="Z116" s="249" t="s">
        <v>557</v>
      </c>
      <c r="AA116" s="249" t="s">
        <v>11</v>
      </c>
      <c r="AB116" s="249" t="s">
        <v>1126</v>
      </c>
      <c r="AC116" s="224">
        <v>2.0</v>
      </c>
      <c r="AD116" s="224">
        <v>1.0</v>
      </c>
      <c r="AE116" s="224">
        <v>1.0</v>
      </c>
      <c r="AF116" s="224">
        <v>1.0</v>
      </c>
    </row>
    <row r="117">
      <c r="A117" s="220" t="s">
        <v>510</v>
      </c>
      <c r="B117" s="222" t="s">
        <v>52</v>
      </c>
      <c r="C117" s="171" t="s">
        <v>511</v>
      </c>
      <c r="D117" s="196" t="s">
        <v>32</v>
      </c>
      <c r="E117" s="222">
        <v>4655.0</v>
      </c>
      <c r="F117" s="222">
        <v>181.0</v>
      </c>
      <c r="G117" s="222">
        <v>374.0</v>
      </c>
      <c r="H117" s="222">
        <v>0.0</v>
      </c>
      <c r="I117" s="222">
        <v>395.0</v>
      </c>
      <c r="J117" s="222">
        <v>195.0</v>
      </c>
      <c r="K117" s="222">
        <v>121.0</v>
      </c>
      <c r="L117" s="222" t="s">
        <v>29</v>
      </c>
      <c r="M117" s="222">
        <v>35.0</v>
      </c>
      <c r="N117" s="222">
        <v>163.0</v>
      </c>
      <c r="O117" s="222">
        <v>55.0</v>
      </c>
      <c r="P117" s="222">
        <v>165.0</v>
      </c>
      <c r="Q117" s="222">
        <v>11.0</v>
      </c>
      <c r="R117" s="222">
        <v>0.0</v>
      </c>
      <c r="S117" s="222">
        <v>0.0</v>
      </c>
      <c r="T117" s="147" t="s">
        <v>512</v>
      </c>
      <c r="U117" s="193" t="s">
        <v>1127</v>
      </c>
      <c r="V117" s="202" t="s">
        <v>1128</v>
      </c>
      <c r="W117" s="194" t="s">
        <v>1129</v>
      </c>
      <c r="X117" s="196" t="s">
        <v>551</v>
      </c>
      <c r="Y117" s="249" t="s">
        <v>1130</v>
      </c>
      <c r="Z117" s="249" t="s">
        <v>1131</v>
      </c>
      <c r="AA117" s="249" t="s">
        <v>1132</v>
      </c>
      <c r="AB117" s="249" t="s">
        <v>1133</v>
      </c>
      <c r="AC117" s="224">
        <v>1.0</v>
      </c>
      <c r="AD117" s="224">
        <v>2.0</v>
      </c>
      <c r="AE117" s="224">
        <v>1.0</v>
      </c>
      <c r="AF117" s="224">
        <v>1.0</v>
      </c>
    </row>
    <row r="118">
      <c r="A118" s="220" t="s">
        <v>513</v>
      </c>
      <c r="B118" s="222" t="s">
        <v>52</v>
      </c>
      <c r="C118" s="171" t="s">
        <v>514</v>
      </c>
      <c r="D118" s="196" t="s">
        <v>28</v>
      </c>
      <c r="E118" s="222">
        <v>3653.0</v>
      </c>
      <c r="F118" s="222">
        <v>142.0</v>
      </c>
      <c r="G118" s="222">
        <v>290.0</v>
      </c>
      <c r="H118" s="222">
        <v>0.0</v>
      </c>
      <c r="I118" s="222">
        <v>348.0</v>
      </c>
      <c r="J118" s="222">
        <v>181.0</v>
      </c>
      <c r="K118" s="222">
        <v>120.0</v>
      </c>
      <c r="L118" s="222" t="s">
        <v>29</v>
      </c>
      <c r="M118" s="222">
        <v>33.0</v>
      </c>
      <c r="N118" s="222">
        <v>166.0</v>
      </c>
      <c r="O118" s="222">
        <v>55.0</v>
      </c>
      <c r="P118" s="222">
        <v>144.0</v>
      </c>
      <c r="Q118" s="222">
        <v>10.0</v>
      </c>
      <c r="R118" s="222">
        <v>0.0</v>
      </c>
      <c r="S118" s="222">
        <v>0.0</v>
      </c>
      <c r="T118" s="147" t="s">
        <v>512</v>
      </c>
      <c r="U118" s="194" t="s">
        <v>1134</v>
      </c>
      <c r="V118" s="193" t="s">
        <v>1135</v>
      </c>
      <c r="W118" s="191" t="s">
        <v>551</v>
      </c>
      <c r="X118" s="196" t="s">
        <v>551</v>
      </c>
      <c r="Y118" s="249" t="s">
        <v>52</v>
      </c>
      <c r="Z118" s="249" t="s">
        <v>1136</v>
      </c>
      <c r="AA118" s="249" t="s">
        <v>11</v>
      </c>
      <c r="AB118" s="249" t="s">
        <v>1110</v>
      </c>
      <c r="AC118" s="224">
        <v>1.0</v>
      </c>
      <c r="AD118" s="224">
        <v>2.0</v>
      </c>
      <c r="AE118" s="224">
        <v>1.0</v>
      </c>
      <c r="AF118" s="224">
        <v>1.0</v>
      </c>
    </row>
    <row r="119">
      <c r="A119" s="220">
        <v>525.0</v>
      </c>
      <c r="B119" s="222" t="s">
        <v>52</v>
      </c>
      <c r="C119" s="171" t="s">
        <v>534</v>
      </c>
      <c r="D119" s="196" t="s">
        <v>32</v>
      </c>
      <c r="E119" s="222">
        <v>3748.0</v>
      </c>
      <c r="F119" s="222">
        <v>190.0</v>
      </c>
      <c r="G119" s="222">
        <v>317.0</v>
      </c>
      <c r="H119" s="222">
        <v>0.0</v>
      </c>
      <c r="I119" s="222">
        <v>385.0</v>
      </c>
      <c r="J119" s="222">
        <v>207.0</v>
      </c>
      <c r="K119" s="222">
        <v>127.0</v>
      </c>
      <c r="L119" s="222" t="s">
        <v>29</v>
      </c>
      <c r="M119" s="222">
        <v>36.0</v>
      </c>
      <c r="N119" s="222">
        <v>168.0</v>
      </c>
      <c r="O119" s="222">
        <v>50.0</v>
      </c>
      <c r="P119" s="222">
        <v>149.0</v>
      </c>
      <c r="Q119" s="222">
        <v>11.0</v>
      </c>
      <c r="R119" s="222">
        <v>0.0</v>
      </c>
      <c r="S119" s="222">
        <v>0.0</v>
      </c>
      <c r="T119" s="147" t="s">
        <v>193</v>
      </c>
      <c r="U119" s="193" t="s">
        <v>1137</v>
      </c>
      <c r="V119" s="194" t="s">
        <v>1138</v>
      </c>
      <c r="W119" s="196" t="s">
        <v>551</v>
      </c>
      <c r="X119" s="196" t="s">
        <v>1139</v>
      </c>
      <c r="Y119" s="249" t="s">
        <v>52</v>
      </c>
      <c r="Z119" s="249" t="s">
        <v>1136</v>
      </c>
      <c r="AA119" s="249" t="s">
        <v>11</v>
      </c>
      <c r="AB119" s="249" t="s">
        <v>1140</v>
      </c>
      <c r="AC119" s="224">
        <v>1.0</v>
      </c>
      <c r="AD119" s="224">
        <v>2.0</v>
      </c>
      <c r="AE119" s="224">
        <v>1.0</v>
      </c>
      <c r="AF119" s="224">
        <v>1.0</v>
      </c>
    </row>
    <row r="120">
      <c r="A120" s="252"/>
      <c r="B120" s="253"/>
      <c r="C120" s="254"/>
      <c r="D120" s="255"/>
      <c r="E120" s="253"/>
      <c r="F120" s="253"/>
      <c r="G120" s="253"/>
      <c r="H120" s="253"/>
      <c r="I120" s="253"/>
      <c r="J120" s="253"/>
      <c r="K120" s="253"/>
      <c r="L120" s="253"/>
      <c r="M120" s="253"/>
      <c r="N120" s="253"/>
      <c r="O120" s="253"/>
      <c r="P120" s="253"/>
      <c r="Q120" s="253"/>
      <c r="R120" s="253"/>
      <c r="S120" s="253"/>
      <c r="T120" s="147"/>
      <c r="U120" s="255"/>
      <c r="V120" s="255"/>
      <c r="W120" s="255"/>
      <c r="X120" s="255"/>
      <c r="Y120" s="256"/>
      <c r="Z120" s="256"/>
      <c r="AA120" s="256"/>
      <c r="AB120" s="256"/>
      <c r="AC120" s="257"/>
      <c r="AD120" s="257"/>
      <c r="AE120" s="257"/>
      <c r="AF120" s="257"/>
    </row>
    <row r="121">
      <c r="A121" s="252"/>
      <c r="B121" s="253"/>
      <c r="C121" s="254"/>
      <c r="D121" s="255"/>
      <c r="E121" s="253"/>
      <c r="F121" s="253"/>
      <c r="G121" s="253"/>
      <c r="H121" s="253"/>
      <c r="I121" s="253"/>
      <c r="J121" s="253"/>
      <c r="K121" s="253"/>
      <c r="L121" s="253"/>
      <c r="M121" s="253"/>
      <c r="N121" s="253"/>
      <c r="O121" s="253"/>
      <c r="P121" s="253"/>
      <c r="Q121" s="253"/>
      <c r="R121" s="253"/>
      <c r="S121" s="253"/>
      <c r="T121" s="147"/>
      <c r="U121" s="255"/>
      <c r="V121" s="255"/>
      <c r="W121" s="255"/>
      <c r="X121" s="255"/>
      <c r="Y121" s="256"/>
      <c r="Z121" s="256"/>
      <c r="AA121" s="256"/>
      <c r="AB121" s="256"/>
      <c r="AC121" s="257"/>
      <c r="AD121" s="257"/>
      <c r="AE121" s="257"/>
      <c r="AF121" s="257"/>
    </row>
    <row r="122">
      <c r="A122" s="252"/>
      <c r="B122" s="253"/>
      <c r="C122" s="254"/>
      <c r="D122" s="255"/>
      <c r="E122" s="253"/>
      <c r="F122" s="253"/>
      <c r="G122" s="253"/>
      <c r="H122" s="253"/>
      <c r="I122" s="253"/>
      <c r="J122" s="253"/>
      <c r="K122" s="253"/>
      <c r="L122" s="253"/>
      <c r="M122" s="253"/>
      <c r="N122" s="253"/>
      <c r="O122" s="253"/>
      <c r="P122" s="253"/>
      <c r="Q122" s="253"/>
      <c r="R122" s="253"/>
      <c r="S122" s="253"/>
      <c r="T122" s="147"/>
      <c r="U122" s="255"/>
      <c r="V122" s="255"/>
      <c r="W122" s="255"/>
      <c r="X122" s="255"/>
      <c r="Y122" s="256"/>
      <c r="Z122" s="256"/>
      <c r="AA122" s="256"/>
      <c r="AB122" s="256"/>
      <c r="AC122" s="257"/>
      <c r="AD122" s="257"/>
      <c r="AE122" s="257"/>
      <c r="AF122" s="257"/>
    </row>
  </sheetData>
  <customSheetViews>
    <customSheetView guid="{4945B9E4-D3E1-4F8E-8920-799EF15902A1}" filter="1" showAutoFilter="1">
      <autoFilter ref="$A$1:$AF$122">
        <filterColumn colId="19">
          <filters>
            <filter val="SSSS"/>
            <filter val="Idolmaster"/>
            <filter val="Iron Blood"/>
            <filter val="Northern Parliament"/>
            <filter val="Ashes"/>
            <filter val="Dragon Empery"/>
            <filter val="Venus"/>
            <filter val="Sakura Empire"/>
            <filter val="Sardegna Empire"/>
            <filter val="Vichya Dominion"/>
          </filters>
        </filterColumn>
      </autoFilter>
    </customSheetView>
    <customSheetView guid="{89A112BF-7670-4149-A23D-9DE7296E8357}" filter="1" showAutoFilter="1">
      <autoFilter ref="$A$1:$Y$122"/>
    </customSheetView>
  </customSheetViews>
  <conditionalFormatting sqref="X112">
    <cfRule type="containsText" dxfId="20" priority="1" operator="containsText" text="Ash">
      <formula>NOT(ISERROR(SEARCH(("Ash"),(X112))))</formula>
    </cfRule>
  </conditionalFormatting>
  <conditionalFormatting sqref="T112">
    <cfRule type="cellIs" dxfId="28" priority="2" operator="equal">
      <formula>"Ashes"</formula>
    </cfRule>
  </conditionalFormatting>
  <conditionalFormatting sqref="T1:T122">
    <cfRule type="cellIs" dxfId="27" priority="3" operator="equal">
      <formula>"Venus"</formula>
    </cfRule>
  </conditionalFormatting>
  <conditionalFormatting sqref="T1:T122">
    <cfRule type="cellIs" dxfId="24" priority="4" operator="equal">
      <formula>"Hololive"</formula>
    </cfRule>
  </conditionalFormatting>
  <conditionalFormatting sqref="T1:T122">
    <cfRule type="cellIs" dxfId="12" priority="5" operator="equal">
      <formula>"Sardegna Empire"</formula>
    </cfRule>
  </conditionalFormatting>
  <conditionalFormatting sqref="T1:T122">
    <cfRule type="cellIs" dxfId="23" priority="6" operator="equal">
      <formula>"Universal"</formula>
    </cfRule>
  </conditionalFormatting>
  <conditionalFormatting sqref="D2:D122">
    <cfRule type="cellIs" dxfId="4" priority="7" operator="equal">
      <formula>"Priority"</formula>
    </cfRule>
  </conditionalFormatting>
  <conditionalFormatting sqref="D2:D122">
    <cfRule type="cellIs" dxfId="5" priority="8" operator="equal">
      <formula>"Decisive"</formula>
    </cfRule>
  </conditionalFormatting>
  <conditionalFormatting sqref="B2:B90 B98 B100">
    <cfRule type="cellIs" dxfId="21" priority="9" operator="equal">
      <formula>"CB"</formula>
    </cfRule>
  </conditionalFormatting>
  <conditionalFormatting sqref="T1:T122">
    <cfRule type="cellIs" dxfId="22" priority="10" operator="equal">
      <formula>"Kizuna Ai"</formula>
    </cfRule>
  </conditionalFormatting>
  <conditionalFormatting sqref="X2:X122">
    <cfRule type="containsText" dxfId="20" priority="11" operator="containsText" text="Ash">
      <formula>NOT(ISERROR(SEARCH(("Ash"),(X2))))</formula>
    </cfRule>
  </conditionalFormatting>
  <conditionalFormatting sqref="X2:X122">
    <cfRule type="containsBlanks" dxfId="31" priority="12">
      <formula>LEN(TRIM(X2))=0</formula>
    </cfRule>
  </conditionalFormatting>
  <conditionalFormatting sqref="X2:X122">
    <cfRule type="notContainsText" dxfId="5" priority="13" operator="notContains" text="--">
      <formula>ISERROR(SEARCH(("--"),(X2)))</formula>
    </cfRule>
  </conditionalFormatting>
  <conditionalFormatting sqref="D2:D122">
    <cfRule type="cellIs" dxfId="1" priority="14" operator="equal">
      <formula>"Common"</formula>
    </cfRule>
  </conditionalFormatting>
  <conditionalFormatting sqref="D2:D122">
    <cfRule type="cellIs" dxfId="2" priority="15" operator="equal">
      <formula>"Rare"</formula>
    </cfRule>
  </conditionalFormatting>
  <conditionalFormatting sqref="D2:D122">
    <cfRule type="cellIs" dxfId="3" priority="16" operator="equal">
      <formula>"Elite"</formula>
    </cfRule>
  </conditionalFormatting>
  <conditionalFormatting sqref="D2:D122">
    <cfRule type="cellIs" dxfId="4" priority="17" operator="equal">
      <formula>"Super Rare"</formula>
    </cfRule>
  </conditionalFormatting>
  <conditionalFormatting sqref="D2:D122">
    <cfRule type="cellIs" dxfId="5" priority="18" operator="equal">
      <formula>"Ultra Rare"</formula>
    </cfRule>
  </conditionalFormatting>
  <conditionalFormatting sqref="B1:B122">
    <cfRule type="cellIs" dxfId="7" priority="19" operator="equal">
      <formula>"CA"</formula>
    </cfRule>
  </conditionalFormatting>
  <conditionalFormatting sqref="B1:B122">
    <cfRule type="cellIs" dxfId="8" priority="20" operator="equal">
      <formula>"CL"</formula>
    </cfRule>
  </conditionalFormatting>
  <conditionalFormatting sqref="T1:T122">
    <cfRule type="cellIs" dxfId="15" priority="21" operator="equal">
      <formula>"Northern Parliament"</formula>
    </cfRule>
  </conditionalFormatting>
  <conditionalFormatting sqref="T1:T122">
    <cfRule type="cellIs" dxfId="2" priority="22" operator="equal">
      <formula>"Eagle Union"</formula>
    </cfRule>
  </conditionalFormatting>
  <conditionalFormatting sqref="T1:T122">
    <cfRule type="cellIs" dxfId="16" priority="23" operator="equal">
      <formula>"Royal Navy"</formula>
    </cfRule>
  </conditionalFormatting>
  <conditionalFormatting sqref="T1:T122">
    <cfRule type="cellIs" dxfId="17" priority="24" operator="equal">
      <formula>"Sakura Empire"</formula>
    </cfRule>
  </conditionalFormatting>
  <conditionalFormatting sqref="T1:T122">
    <cfRule type="cellIs" dxfId="5" priority="25" operator="equal">
      <formula>"Iron Blood"</formula>
    </cfRule>
  </conditionalFormatting>
  <conditionalFormatting sqref="T1:T122">
    <cfRule type="cellIs" dxfId="18" priority="26" operator="equal">
      <formula>"Dragon Empery"</formula>
    </cfRule>
  </conditionalFormatting>
  <conditionalFormatting sqref="T1:T122">
    <cfRule type="cellIs" dxfId="4" priority="27" operator="equal">
      <formula>"Iris Libre"</formula>
    </cfRule>
  </conditionalFormatting>
  <conditionalFormatting sqref="T1:T122">
    <cfRule type="cellIs" dxfId="9" priority="28" operator="equal">
      <formula>"Vichya Dominion"</formula>
    </cfRule>
  </conditionalFormatting>
  <conditionalFormatting sqref="T1:T122">
    <cfRule type="cellIs" dxfId="3" priority="29" operator="equal">
      <formula>"Neptunia"</formula>
    </cfRule>
  </conditionalFormatting>
  <conditionalFormatting sqref="E2:E122">
    <cfRule type="colorScale" priority="30">
      <colorScale>
        <cfvo type="min"/>
        <cfvo type="percentile" val="50"/>
        <cfvo type="max"/>
        <color rgb="FFE67C73"/>
        <color rgb="FFFFD666"/>
        <color rgb="FF57BB8A"/>
      </colorScale>
    </cfRule>
  </conditionalFormatting>
  <conditionalFormatting sqref="F2:F122">
    <cfRule type="colorScale" priority="31">
      <colorScale>
        <cfvo type="min"/>
        <cfvo type="percentile" val="50"/>
        <cfvo type="max"/>
        <color rgb="FFE67C73"/>
        <color rgb="FFFFD666"/>
        <color rgb="FF57BB8A"/>
      </colorScale>
    </cfRule>
  </conditionalFormatting>
  <conditionalFormatting sqref="I2:I122">
    <cfRule type="colorScale" priority="32">
      <colorScale>
        <cfvo type="min"/>
        <cfvo type="percentile" val="50"/>
        <cfvo type="formula" val="425"/>
        <color rgb="FFE67C73"/>
        <color rgb="FFFFD666"/>
        <color rgb="FF57BB8A"/>
      </colorScale>
    </cfRule>
  </conditionalFormatting>
  <conditionalFormatting sqref="G2:G122">
    <cfRule type="colorScale" priority="33">
      <colorScale>
        <cfvo type="formula" val="100"/>
        <cfvo type="percentile" val="50"/>
        <cfvo type="max"/>
        <color rgb="FFE67C73"/>
        <color rgb="FFFFD666"/>
        <color rgb="FF57BB8A"/>
      </colorScale>
    </cfRule>
  </conditionalFormatting>
  <conditionalFormatting sqref="K2:K122">
    <cfRule type="colorScale" priority="34">
      <colorScale>
        <cfvo type="min"/>
        <cfvo type="percentile" val="50"/>
        <cfvo type="max"/>
        <color rgb="FFE67C73"/>
        <color rgb="FFFFD666"/>
        <color rgb="FF57BB8A"/>
      </colorScale>
    </cfRule>
  </conditionalFormatting>
  <conditionalFormatting sqref="Q2:Q122">
    <cfRule type="colorScale" priority="35">
      <colorScale>
        <cfvo type="min"/>
        <cfvo type="percentile" val="50"/>
        <cfvo type="max"/>
        <color rgb="FF57BB8A"/>
        <color rgb="FFFFD666"/>
        <color rgb="FFE67C73"/>
      </colorScale>
    </cfRule>
  </conditionalFormatting>
  <conditionalFormatting sqref="J2:J122">
    <cfRule type="colorScale" priority="36">
      <colorScale>
        <cfvo type="min"/>
        <cfvo type="percentile" val="50"/>
        <cfvo type="max"/>
        <color rgb="FFE67C73"/>
        <color rgb="FFFFD666"/>
        <color rgb="FF57BB8A"/>
      </colorScale>
    </cfRule>
  </conditionalFormatting>
  <conditionalFormatting sqref="L2:L122">
    <cfRule type="cellIs" dxfId="35" priority="37" operator="equal">
      <formula>"Light"</formula>
    </cfRule>
  </conditionalFormatting>
  <conditionalFormatting sqref="L2:L122">
    <cfRule type="cellIs" dxfId="19" priority="38" operator="equal">
      <formula>"Medium"</formula>
    </cfRule>
  </conditionalFormatting>
  <conditionalFormatting sqref="M2:M122">
    <cfRule type="colorScale" priority="39">
      <colorScale>
        <cfvo type="min"/>
        <cfvo type="percent" val="50"/>
        <cfvo type="max"/>
        <color rgb="FFE67C73"/>
        <color rgb="FFFFD666"/>
        <color rgb="FF57BB8A"/>
      </colorScale>
    </cfRule>
  </conditionalFormatting>
  <conditionalFormatting sqref="P2:P122">
    <cfRule type="colorScale" priority="40">
      <colorScale>
        <cfvo type="min"/>
        <cfvo type="percentile" val="50"/>
        <cfvo type="max"/>
        <color rgb="FFE67C73"/>
        <color rgb="FFFFD666"/>
        <color rgb="FF57BB8A"/>
      </colorScale>
    </cfRule>
  </conditionalFormatting>
  <conditionalFormatting sqref="N2:N122">
    <cfRule type="colorScale" priority="41">
      <colorScale>
        <cfvo type="min"/>
        <cfvo type="percentile" val="50"/>
        <cfvo type="max"/>
        <color rgb="FFE67C73"/>
        <color rgb="FFFFD666"/>
        <color rgb="FF57BB8A"/>
      </colorScale>
    </cfRule>
  </conditionalFormatting>
  <conditionalFormatting sqref="O2:O122">
    <cfRule type="colorScale" priority="42">
      <colorScale>
        <cfvo type="min"/>
        <cfvo type="percentile" val="50"/>
        <cfvo type="max"/>
        <color rgb="FFE67C73"/>
        <color rgb="FFFFD666"/>
        <color rgb="FF57BB8A"/>
      </colorScale>
    </cfRule>
  </conditionalFormatting>
  <conditionalFormatting sqref="T1:T122">
    <cfRule type="cellIs" dxfId="28" priority="43" operator="equal">
      <formula>"Ashes"</formula>
    </cfRule>
  </conditionalFormatting>
  <hyperlinks>
    <hyperlink r:id="rId2" location="Retrofit" ref="C7"/>
    <hyperlink r:id="rId3" ref="C34"/>
    <hyperlink r:id="rId4" ref="C87"/>
    <hyperlink r:id="rId5" ref="C88"/>
    <hyperlink r:id="rId6" location="Retrofit" ref="C92"/>
    <hyperlink r:id="rId7" ref="C93"/>
    <hyperlink r:id="rId8" ref="C97"/>
    <hyperlink r:id="rId9" ref="C98"/>
    <hyperlink r:id="rId10" ref="C99"/>
    <hyperlink r:id="rId11" ref="C100"/>
    <hyperlink r:id="rId12" ref="C101"/>
    <hyperlink r:id="rId13" ref="C102"/>
    <hyperlink r:id="rId14" ref="C103"/>
    <hyperlink r:id="rId15" ref="C104"/>
    <hyperlink r:id="rId16" ref="C105"/>
    <hyperlink r:id="rId17" ref="C106"/>
    <hyperlink r:id="rId18" ref="C107"/>
    <hyperlink r:id="rId19" ref="C108"/>
    <hyperlink r:id="rId20" ref="C111"/>
    <hyperlink r:id="rId21" ref="C112"/>
    <hyperlink r:id="rId22" ref="C113"/>
    <hyperlink r:id="rId23" ref="C116"/>
    <hyperlink r:id="rId24" ref="C117"/>
    <hyperlink r:id="rId25" ref="C118"/>
    <hyperlink r:id="rId26" ref="C119"/>
  </hyperlinks>
  <drawing r:id="rId27"/>
  <legacyDrawing r:id="rId28"/>
  <tableParts count="1">
    <tablePart r:id="rId30"/>
  </tableParts>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9CB9C"/>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29"/>
    <col customWidth="1" min="2" max="2" width="5.14"/>
    <col customWidth="1" min="3" max="3" width="18.29"/>
    <col customWidth="1" min="4" max="4" width="10.57"/>
    <col customWidth="1" min="5" max="7" width="5.86"/>
    <col customWidth="1" hidden="1" min="8" max="8" width="5.86"/>
    <col customWidth="1" min="9" max="11" width="5.86"/>
    <col customWidth="1" min="12" max="12" width="7.29"/>
    <col customWidth="1" min="13" max="17" width="5.86"/>
    <col customWidth="1" hidden="1" min="18" max="19" width="5.86"/>
    <col customWidth="1" min="20" max="20" width="17.57"/>
    <col customWidth="1" min="21" max="21" width="25.29"/>
    <col customWidth="1" min="22" max="22" width="23.0"/>
    <col customWidth="1" min="23" max="23" width="20.14"/>
    <col customWidth="1" min="24" max="24" width="20.57"/>
    <col customWidth="1" min="25" max="27" width="8.0"/>
    <col customWidth="1" min="28" max="32" width="11.43"/>
  </cols>
  <sheetData>
    <row r="1">
      <c r="A1" s="215" t="s">
        <v>3</v>
      </c>
      <c r="B1" s="136" t="s">
        <v>4</v>
      </c>
      <c r="C1" s="136" t="s">
        <v>5</v>
      </c>
      <c r="D1" s="137" t="s">
        <v>6</v>
      </c>
      <c r="E1" s="137" t="s">
        <v>7</v>
      </c>
      <c r="F1" s="137" t="s">
        <v>8</v>
      </c>
      <c r="G1" s="137" t="s">
        <v>9</v>
      </c>
      <c r="H1" s="137" t="s">
        <v>10</v>
      </c>
      <c r="I1" s="137" t="s">
        <v>11</v>
      </c>
      <c r="J1" s="137" t="s">
        <v>12</v>
      </c>
      <c r="K1" s="137" t="s">
        <v>13</v>
      </c>
      <c r="L1" s="137" t="s">
        <v>14</v>
      </c>
      <c r="M1" s="137" t="s">
        <v>15</v>
      </c>
      <c r="N1" s="138" t="s">
        <v>16</v>
      </c>
      <c r="O1" s="138" t="s">
        <v>17</v>
      </c>
      <c r="P1" s="137" t="s">
        <v>18</v>
      </c>
      <c r="Q1" s="137" t="s">
        <v>19</v>
      </c>
      <c r="R1" s="137" t="s">
        <v>20</v>
      </c>
      <c r="S1" s="137" t="s">
        <v>21</v>
      </c>
      <c r="T1" s="139" t="s">
        <v>22</v>
      </c>
      <c r="U1" s="140" t="s">
        <v>541</v>
      </c>
      <c r="V1" s="140" t="s">
        <v>542</v>
      </c>
      <c r="W1" s="140" t="s">
        <v>543</v>
      </c>
      <c r="X1" s="140" t="s">
        <v>544</v>
      </c>
      <c r="Y1" s="139" t="s">
        <v>546</v>
      </c>
      <c r="Z1" s="139" t="s">
        <v>547</v>
      </c>
      <c r="AA1" s="139" t="s">
        <v>548</v>
      </c>
      <c r="AB1" s="139" t="s">
        <v>549</v>
      </c>
      <c r="AC1" s="139" t="s">
        <v>875</v>
      </c>
      <c r="AD1" s="139" t="s">
        <v>876</v>
      </c>
      <c r="AE1" s="139" t="s">
        <v>877</v>
      </c>
      <c r="AF1" s="139" t="s">
        <v>878</v>
      </c>
    </row>
    <row r="2" ht="15.75" customHeight="1">
      <c r="A2" s="141">
        <v>39.0</v>
      </c>
      <c r="B2" s="142" t="s">
        <v>66</v>
      </c>
      <c r="C2" s="143" t="str">
        <f>HYPERLINK("https://azurlane.koumakan.jp/Pensacola","Pensacola")</f>
        <v>Pensacola</v>
      </c>
      <c r="D2" s="158" t="s">
        <v>40</v>
      </c>
      <c r="E2" s="165">
        <v>3366.0</v>
      </c>
      <c r="F2" s="145">
        <v>235.0</v>
      </c>
      <c r="G2" s="145">
        <v>0.0</v>
      </c>
      <c r="H2" s="145">
        <v>0.0</v>
      </c>
      <c r="I2" s="145">
        <v>202.0</v>
      </c>
      <c r="J2" s="145">
        <v>162.0</v>
      </c>
      <c r="K2" s="145">
        <v>57.0</v>
      </c>
      <c r="L2" s="145" t="s">
        <v>29</v>
      </c>
      <c r="M2" s="145">
        <v>26.0</v>
      </c>
      <c r="N2" s="145">
        <v>121.0</v>
      </c>
      <c r="O2" s="166">
        <v>75.0</v>
      </c>
      <c r="P2" s="145">
        <v>0.0</v>
      </c>
      <c r="Q2" s="145">
        <v>9.0</v>
      </c>
      <c r="R2" s="145">
        <v>0.0</v>
      </c>
      <c r="S2" s="145">
        <v>0.0</v>
      </c>
      <c r="T2" s="147" t="s">
        <v>37</v>
      </c>
      <c r="U2" s="148" t="s">
        <v>717</v>
      </c>
      <c r="V2" s="149" t="s">
        <v>551</v>
      </c>
      <c r="W2" s="149" t="s">
        <v>551</v>
      </c>
      <c r="X2" s="149" t="s">
        <v>1141</v>
      </c>
      <c r="Y2" s="147" t="s">
        <v>66</v>
      </c>
      <c r="Z2" s="147" t="s">
        <v>27</v>
      </c>
      <c r="AA2" s="147" t="s">
        <v>11</v>
      </c>
      <c r="AB2" s="147" t="s">
        <v>1142</v>
      </c>
      <c r="AC2" s="147">
        <v>2.0</v>
      </c>
      <c r="AD2" s="147">
        <v>0.0</v>
      </c>
      <c r="AE2" s="147">
        <v>0.0</v>
      </c>
      <c r="AF2" s="147">
        <v>1.0</v>
      </c>
    </row>
    <row r="3" ht="15.75" customHeight="1">
      <c r="A3" s="141">
        <v>40.0</v>
      </c>
      <c r="B3" s="142" t="s">
        <v>66</v>
      </c>
      <c r="C3" s="143" t="str">
        <f>HYPERLINK("https://azurlane.koumakan.jp/Salt_Lake_City","Salt Lake City")</f>
        <v>Salt Lake City</v>
      </c>
      <c r="D3" s="158" t="s">
        <v>40</v>
      </c>
      <c r="E3" s="165">
        <v>3366.0</v>
      </c>
      <c r="F3" s="145">
        <v>235.0</v>
      </c>
      <c r="G3" s="145">
        <v>0.0</v>
      </c>
      <c r="H3" s="145">
        <v>0.0</v>
      </c>
      <c r="I3" s="145">
        <v>202.0</v>
      </c>
      <c r="J3" s="145">
        <v>162.0</v>
      </c>
      <c r="K3" s="145">
        <v>57.0</v>
      </c>
      <c r="L3" s="145" t="s">
        <v>29</v>
      </c>
      <c r="M3" s="145">
        <v>26.0</v>
      </c>
      <c r="N3" s="145">
        <v>121.0</v>
      </c>
      <c r="O3" s="166">
        <v>71.0</v>
      </c>
      <c r="P3" s="145">
        <v>0.0</v>
      </c>
      <c r="Q3" s="145">
        <v>9.0</v>
      </c>
      <c r="R3" s="145">
        <v>0.0</v>
      </c>
      <c r="S3" s="145">
        <v>0.0</v>
      </c>
      <c r="T3" s="147" t="s">
        <v>37</v>
      </c>
      <c r="U3" s="164" t="s">
        <v>575</v>
      </c>
      <c r="V3" s="149" t="s">
        <v>551</v>
      </c>
      <c r="W3" s="149" t="s">
        <v>551</v>
      </c>
      <c r="X3" s="149" t="s">
        <v>1141</v>
      </c>
      <c r="Y3" s="147" t="s">
        <v>66</v>
      </c>
      <c r="Z3" s="147" t="s">
        <v>27</v>
      </c>
      <c r="AA3" s="147" t="s">
        <v>11</v>
      </c>
      <c r="AB3" s="147" t="s">
        <v>1142</v>
      </c>
      <c r="AC3" s="147">
        <v>2.0</v>
      </c>
      <c r="AD3" s="147">
        <v>0.0</v>
      </c>
      <c r="AE3" s="147">
        <v>0.0</v>
      </c>
      <c r="AF3" s="147">
        <v>1.0</v>
      </c>
    </row>
    <row r="4" ht="15.75" customHeight="1">
      <c r="A4" s="141">
        <v>41.0</v>
      </c>
      <c r="B4" s="142" t="s">
        <v>66</v>
      </c>
      <c r="C4" s="143" t="str">
        <f>HYPERLINK("https://azurlane.koumakan.jp/Northampton","Northampton")</f>
        <v>Northampton</v>
      </c>
      <c r="D4" s="147" t="s">
        <v>36</v>
      </c>
      <c r="E4" s="165">
        <v>3424.0</v>
      </c>
      <c r="F4" s="145">
        <v>243.0</v>
      </c>
      <c r="G4" s="145">
        <v>0.0</v>
      </c>
      <c r="H4" s="145">
        <v>0.0</v>
      </c>
      <c r="I4" s="145">
        <v>209.0</v>
      </c>
      <c r="J4" s="145">
        <v>169.0</v>
      </c>
      <c r="K4" s="145">
        <v>55.0</v>
      </c>
      <c r="L4" s="145" t="s">
        <v>29</v>
      </c>
      <c r="M4" s="145">
        <v>26.0</v>
      </c>
      <c r="N4" s="145">
        <v>125.0</v>
      </c>
      <c r="O4" s="166">
        <v>27.0</v>
      </c>
      <c r="P4" s="145">
        <v>0.0</v>
      </c>
      <c r="Q4" s="145">
        <v>10.0</v>
      </c>
      <c r="R4" s="145">
        <v>0.0</v>
      </c>
      <c r="S4" s="145">
        <v>0.0</v>
      </c>
      <c r="T4" s="147" t="s">
        <v>37</v>
      </c>
      <c r="U4" s="148" t="s">
        <v>881</v>
      </c>
      <c r="V4" s="149" t="s">
        <v>551</v>
      </c>
      <c r="W4" s="149" t="s">
        <v>551</v>
      </c>
      <c r="X4" s="149" t="s">
        <v>1143</v>
      </c>
      <c r="Y4" s="147" t="s">
        <v>66</v>
      </c>
      <c r="Z4" s="147" t="s">
        <v>27</v>
      </c>
      <c r="AA4" s="147" t="s">
        <v>11</v>
      </c>
      <c r="AB4" s="147" t="s">
        <v>1144</v>
      </c>
      <c r="AC4" s="147">
        <v>2.0</v>
      </c>
      <c r="AD4" s="147">
        <v>0.0</v>
      </c>
      <c r="AE4" s="147">
        <v>0.0</v>
      </c>
      <c r="AF4" s="147">
        <v>1.0</v>
      </c>
    </row>
    <row r="5" ht="15.75" customHeight="1">
      <c r="A5" s="141">
        <v>42.0</v>
      </c>
      <c r="B5" s="142" t="s">
        <v>66</v>
      </c>
      <c r="C5" s="143" t="str">
        <f>HYPERLINK("https://azurlane.koumakan.jp/Chicago","Chicago")</f>
        <v>Chicago</v>
      </c>
      <c r="D5" s="158" t="s">
        <v>36</v>
      </c>
      <c r="E5" s="145">
        <v>3471.0</v>
      </c>
      <c r="F5" s="145">
        <v>243.0</v>
      </c>
      <c r="G5" s="145">
        <v>0.0</v>
      </c>
      <c r="H5" s="145">
        <v>0.0</v>
      </c>
      <c r="I5" s="145">
        <v>209.0</v>
      </c>
      <c r="J5" s="145">
        <v>169.0</v>
      </c>
      <c r="K5" s="145">
        <v>55.0</v>
      </c>
      <c r="L5" s="145" t="s">
        <v>29</v>
      </c>
      <c r="M5" s="145">
        <v>26.0</v>
      </c>
      <c r="N5" s="145">
        <v>125.0</v>
      </c>
      <c r="O5" s="145">
        <v>32.0</v>
      </c>
      <c r="P5" s="145">
        <v>0.0</v>
      </c>
      <c r="Q5" s="145">
        <v>10.0</v>
      </c>
      <c r="R5" s="145">
        <v>0.0</v>
      </c>
      <c r="S5" s="145">
        <v>0.0</v>
      </c>
      <c r="T5" s="147" t="s">
        <v>37</v>
      </c>
      <c r="U5" s="164" t="s">
        <v>1145</v>
      </c>
      <c r="V5" s="149" t="s">
        <v>551</v>
      </c>
      <c r="W5" s="149" t="s">
        <v>551</v>
      </c>
      <c r="X5" s="149" t="s">
        <v>1143</v>
      </c>
      <c r="Y5" s="147" t="s">
        <v>66</v>
      </c>
      <c r="Z5" s="147" t="s">
        <v>27</v>
      </c>
      <c r="AA5" s="147" t="s">
        <v>11</v>
      </c>
      <c r="AB5" s="147" t="s">
        <v>1144</v>
      </c>
      <c r="AC5" s="147">
        <v>2.0</v>
      </c>
      <c r="AD5" s="147">
        <v>0.0</v>
      </c>
      <c r="AE5" s="147">
        <v>0.0</v>
      </c>
      <c r="AF5" s="147">
        <v>1.0</v>
      </c>
    </row>
    <row r="6" ht="15.75" customHeight="1">
      <c r="A6" s="141">
        <v>43.0</v>
      </c>
      <c r="B6" s="142" t="s">
        <v>66</v>
      </c>
      <c r="C6" s="143" t="str">
        <f>HYPERLINK("https://azurlane.koumakan.jp/Houston","Houston")</f>
        <v>Houston</v>
      </c>
      <c r="D6" s="158" t="s">
        <v>28</v>
      </c>
      <c r="E6" s="145">
        <v>3525.0</v>
      </c>
      <c r="F6" s="145">
        <v>250.0</v>
      </c>
      <c r="G6" s="145">
        <v>0.0</v>
      </c>
      <c r="H6" s="145">
        <v>0.0</v>
      </c>
      <c r="I6" s="145">
        <v>215.0</v>
      </c>
      <c r="J6" s="145">
        <v>174.0</v>
      </c>
      <c r="K6" s="145">
        <v>55.0</v>
      </c>
      <c r="L6" s="145" t="s">
        <v>29</v>
      </c>
      <c r="M6" s="145">
        <v>26.0</v>
      </c>
      <c r="N6" s="145">
        <v>125.0</v>
      </c>
      <c r="O6" s="145">
        <v>49.0</v>
      </c>
      <c r="P6" s="145">
        <v>0.0</v>
      </c>
      <c r="Q6" s="145">
        <v>11.0</v>
      </c>
      <c r="R6" s="145">
        <v>0.0</v>
      </c>
      <c r="S6" s="145">
        <v>0.0</v>
      </c>
      <c r="T6" s="147" t="s">
        <v>37</v>
      </c>
      <c r="U6" s="161" t="s">
        <v>1146</v>
      </c>
      <c r="V6" s="149" t="s">
        <v>551</v>
      </c>
      <c r="W6" s="149" t="s">
        <v>551</v>
      </c>
      <c r="X6" s="149" t="s">
        <v>1143</v>
      </c>
      <c r="Y6" s="147" t="s">
        <v>66</v>
      </c>
      <c r="Z6" s="147" t="s">
        <v>27</v>
      </c>
      <c r="AA6" s="147" t="s">
        <v>11</v>
      </c>
      <c r="AB6" s="147" t="s">
        <v>1144</v>
      </c>
      <c r="AC6" s="147">
        <v>2.0</v>
      </c>
      <c r="AD6" s="147">
        <v>0.0</v>
      </c>
      <c r="AE6" s="147">
        <v>0.0</v>
      </c>
      <c r="AF6" s="147">
        <v>1.0</v>
      </c>
    </row>
    <row r="7" ht="15.75" customHeight="1">
      <c r="A7" s="141">
        <v>44.0</v>
      </c>
      <c r="B7" s="142" t="s">
        <v>66</v>
      </c>
      <c r="C7" s="143" t="str">
        <f>HYPERLINK("https://azurlane.koumakan.jp/Portland","Portland")</f>
        <v>Portland</v>
      </c>
      <c r="D7" s="158" t="s">
        <v>36</v>
      </c>
      <c r="E7" s="145">
        <v>4671.0</v>
      </c>
      <c r="F7" s="145">
        <v>207.0</v>
      </c>
      <c r="G7" s="145">
        <v>0.0</v>
      </c>
      <c r="H7" s="145">
        <v>0.0</v>
      </c>
      <c r="I7" s="145">
        <v>251.0</v>
      </c>
      <c r="J7" s="145">
        <v>172.0</v>
      </c>
      <c r="K7" s="145">
        <v>61.0</v>
      </c>
      <c r="L7" s="145" t="s">
        <v>71</v>
      </c>
      <c r="M7" s="145">
        <v>26.0</v>
      </c>
      <c r="N7" s="145">
        <v>129.0</v>
      </c>
      <c r="O7" s="145">
        <v>78.0</v>
      </c>
      <c r="P7" s="145">
        <v>0.0</v>
      </c>
      <c r="Q7" s="145">
        <v>10.0</v>
      </c>
      <c r="R7" s="145">
        <v>0.0</v>
      </c>
      <c r="S7" s="145">
        <v>0.0</v>
      </c>
      <c r="T7" s="147" t="s">
        <v>37</v>
      </c>
      <c r="U7" s="164" t="s">
        <v>1147</v>
      </c>
      <c r="V7" s="148" t="s">
        <v>1148</v>
      </c>
      <c r="W7" s="149" t="s">
        <v>551</v>
      </c>
      <c r="X7" s="149" t="s">
        <v>1149</v>
      </c>
      <c r="Y7" s="147" t="s">
        <v>66</v>
      </c>
      <c r="Z7" s="147" t="s">
        <v>27</v>
      </c>
      <c r="AA7" s="147" t="s">
        <v>11</v>
      </c>
      <c r="AB7" s="147" t="s">
        <v>1150</v>
      </c>
      <c r="AC7" s="147">
        <v>2.0</v>
      </c>
      <c r="AD7" s="147">
        <v>0.0</v>
      </c>
      <c r="AE7" s="147">
        <v>0.0</v>
      </c>
      <c r="AF7" s="147">
        <v>1.0</v>
      </c>
    </row>
    <row r="8" ht="15.75" customHeight="1">
      <c r="A8" s="141">
        <v>44.1</v>
      </c>
      <c r="B8" s="142" t="s">
        <v>66</v>
      </c>
      <c r="C8" s="143" t="str">
        <f>HYPERLINK("https://azurlane.koumakan.jp/Portland#Retrofit","Portland (R)")</f>
        <v>Portland (R)</v>
      </c>
      <c r="D8" s="158" t="s">
        <v>28</v>
      </c>
      <c r="E8" s="158">
        <v>5461.0</v>
      </c>
      <c r="F8" s="145">
        <v>237.0</v>
      </c>
      <c r="G8" s="145">
        <v>0.0</v>
      </c>
      <c r="H8" s="145">
        <v>0.0</v>
      </c>
      <c r="I8" s="145">
        <v>266.0</v>
      </c>
      <c r="J8" s="145">
        <v>172.0</v>
      </c>
      <c r="K8" s="145">
        <v>81.0</v>
      </c>
      <c r="L8" s="145" t="s">
        <v>71</v>
      </c>
      <c r="M8" s="145">
        <v>26.0</v>
      </c>
      <c r="N8" s="145">
        <v>129.0</v>
      </c>
      <c r="O8" s="169">
        <v>78.0</v>
      </c>
      <c r="P8" s="145">
        <v>0.0</v>
      </c>
      <c r="Q8" s="145">
        <v>10.0</v>
      </c>
      <c r="R8" s="145">
        <v>0.0</v>
      </c>
      <c r="S8" s="145">
        <v>0.0</v>
      </c>
      <c r="T8" s="147" t="s">
        <v>37</v>
      </c>
      <c r="U8" s="164" t="s">
        <v>1147</v>
      </c>
      <c r="V8" s="148" t="s">
        <v>1148</v>
      </c>
      <c r="W8" s="149" t="s">
        <v>551</v>
      </c>
      <c r="X8" s="149" t="s">
        <v>1149</v>
      </c>
      <c r="Y8" s="147" t="s">
        <v>66</v>
      </c>
      <c r="Z8" s="147" t="s">
        <v>27</v>
      </c>
      <c r="AA8" s="147" t="s">
        <v>11</v>
      </c>
      <c r="AB8" s="147" t="s">
        <v>1151</v>
      </c>
      <c r="AC8" s="147">
        <v>2.0</v>
      </c>
      <c r="AD8" s="147">
        <v>0.0</v>
      </c>
      <c r="AE8" s="147">
        <v>0.0</v>
      </c>
      <c r="AF8" s="147">
        <v>1.0</v>
      </c>
    </row>
    <row r="9" ht="15.75" customHeight="1">
      <c r="A9" s="141">
        <v>45.0</v>
      </c>
      <c r="B9" s="142" t="s">
        <v>66</v>
      </c>
      <c r="C9" s="143" t="str">
        <f>HYPERLINK("https://azurlane.koumakan.jp/Indianapolis","Indianapolis")</f>
        <v>Indianapolis</v>
      </c>
      <c r="D9" s="158" t="s">
        <v>28</v>
      </c>
      <c r="E9" s="145">
        <v>4843.0</v>
      </c>
      <c r="F9" s="145">
        <v>213.0</v>
      </c>
      <c r="G9" s="145">
        <v>0.0</v>
      </c>
      <c r="H9" s="145">
        <v>0.0</v>
      </c>
      <c r="I9" s="145">
        <v>257.0</v>
      </c>
      <c r="J9" s="145">
        <v>177.0</v>
      </c>
      <c r="K9" s="145">
        <v>61.0</v>
      </c>
      <c r="L9" s="145" t="s">
        <v>71</v>
      </c>
      <c r="M9" s="145">
        <v>26.0</v>
      </c>
      <c r="N9" s="145">
        <v>129.0</v>
      </c>
      <c r="O9" s="145">
        <v>23.0</v>
      </c>
      <c r="P9" s="145">
        <v>0.0</v>
      </c>
      <c r="Q9" s="145">
        <v>11.0</v>
      </c>
      <c r="R9" s="145">
        <v>0.0</v>
      </c>
      <c r="S9" s="145">
        <v>0.0</v>
      </c>
      <c r="T9" s="147" t="s">
        <v>37</v>
      </c>
      <c r="U9" s="161" t="s">
        <v>1152</v>
      </c>
      <c r="V9" s="161" t="s">
        <v>1153</v>
      </c>
      <c r="W9" s="149" t="s">
        <v>551</v>
      </c>
      <c r="X9" s="149" t="s">
        <v>1149</v>
      </c>
      <c r="Y9" s="147" t="s">
        <v>66</v>
      </c>
      <c r="Z9" s="147" t="s">
        <v>27</v>
      </c>
      <c r="AA9" s="147" t="s">
        <v>11</v>
      </c>
      <c r="AB9" s="147" t="s">
        <v>1150</v>
      </c>
      <c r="AC9" s="147">
        <v>2.0</v>
      </c>
      <c r="AD9" s="147">
        <v>0.0</v>
      </c>
      <c r="AE9" s="147">
        <v>0.0</v>
      </c>
      <c r="AF9" s="147">
        <v>1.0</v>
      </c>
    </row>
    <row r="10" ht="15.75" customHeight="1">
      <c r="A10" s="141">
        <v>46.0</v>
      </c>
      <c r="B10" s="142" t="s">
        <v>66</v>
      </c>
      <c r="C10" s="143" t="str">
        <f>HYPERLINK("https://azurlane.koumakan.jp/Astoria","Astoria")</f>
        <v>Astoria</v>
      </c>
      <c r="D10" s="158" t="s">
        <v>28</v>
      </c>
      <c r="E10" s="145">
        <v>3971.0</v>
      </c>
      <c r="F10" s="145">
        <v>221.0</v>
      </c>
      <c r="G10" s="145">
        <v>0.0</v>
      </c>
      <c r="H10" s="145">
        <v>0.0</v>
      </c>
      <c r="I10" s="145">
        <v>231.0</v>
      </c>
      <c r="J10" s="145">
        <v>163.0</v>
      </c>
      <c r="K10" s="145">
        <v>59.0</v>
      </c>
      <c r="L10" s="145" t="s">
        <v>71</v>
      </c>
      <c r="M10" s="145">
        <v>26.0</v>
      </c>
      <c r="N10" s="145">
        <v>125.0</v>
      </c>
      <c r="O10" s="145">
        <v>15.0</v>
      </c>
      <c r="P10" s="145">
        <v>0.0</v>
      </c>
      <c r="Q10" s="145">
        <v>11.0</v>
      </c>
      <c r="R10" s="145">
        <v>0.0</v>
      </c>
      <c r="S10" s="145">
        <v>0.0</v>
      </c>
      <c r="T10" s="147" t="s">
        <v>37</v>
      </c>
      <c r="U10" s="148" t="s">
        <v>1154</v>
      </c>
      <c r="V10" s="161" t="s">
        <v>1155</v>
      </c>
      <c r="W10" s="149" t="s">
        <v>551</v>
      </c>
      <c r="X10" s="149" t="s">
        <v>1156</v>
      </c>
      <c r="Y10" s="147" t="s">
        <v>66</v>
      </c>
      <c r="Z10" s="147" t="s">
        <v>27</v>
      </c>
      <c r="AA10" s="147" t="s">
        <v>11</v>
      </c>
      <c r="AB10" s="147" t="s">
        <v>1157</v>
      </c>
      <c r="AC10" s="147">
        <v>2.0</v>
      </c>
      <c r="AD10" s="147">
        <v>0.0</v>
      </c>
      <c r="AE10" s="147">
        <v>0.0</v>
      </c>
      <c r="AF10" s="147">
        <v>1.0</v>
      </c>
    </row>
    <row r="11" ht="15.75" customHeight="1">
      <c r="A11" s="141">
        <v>47.0</v>
      </c>
      <c r="B11" s="142" t="s">
        <v>66</v>
      </c>
      <c r="C11" s="143" t="str">
        <f>HYPERLINK("https://azurlane.koumakan.jp/Quincy","Quincy")</f>
        <v>Quincy</v>
      </c>
      <c r="D11" s="158" t="s">
        <v>28</v>
      </c>
      <c r="E11" s="145">
        <v>4107.0</v>
      </c>
      <c r="F11" s="145">
        <v>221.0</v>
      </c>
      <c r="G11" s="145">
        <v>0.0</v>
      </c>
      <c r="H11" s="145">
        <v>0.0</v>
      </c>
      <c r="I11" s="145">
        <v>235.0</v>
      </c>
      <c r="J11" s="145">
        <v>163.0</v>
      </c>
      <c r="K11" s="145">
        <v>59.0</v>
      </c>
      <c r="L11" s="145" t="s">
        <v>71</v>
      </c>
      <c r="M11" s="145">
        <v>26.0</v>
      </c>
      <c r="N11" s="145">
        <v>129.0</v>
      </c>
      <c r="O11" s="145">
        <v>9.0</v>
      </c>
      <c r="P11" s="145">
        <v>0.0</v>
      </c>
      <c r="Q11" s="145">
        <v>11.0</v>
      </c>
      <c r="R11" s="145">
        <v>0.0</v>
      </c>
      <c r="S11" s="145">
        <v>0.0</v>
      </c>
      <c r="T11" s="147" t="s">
        <v>37</v>
      </c>
      <c r="U11" s="164" t="s">
        <v>575</v>
      </c>
      <c r="V11" s="161" t="s">
        <v>1155</v>
      </c>
      <c r="W11" s="149" t="s">
        <v>551</v>
      </c>
      <c r="X11" s="149" t="s">
        <v>1156</v>
      </c>
      <c r="Y11" s="147" t="s">
        <v>66</v>
      </c>
      <c r="Z11" s="147" t="s">
        <v>27</v>
      </c>
      <c r="AA11" s="147" t="s">
        <v>11</v>
      </c>
      <c r="AB11" s="147" t="s">
        <v>1157</v>
      </c>
      <c r="AC11" s="147">
        <v>2.0</v>
      </c>
      <c r="AD11" s="147">
        <v>0.0</v>
      </c>
      <c r="AE11" s="147">
        <v>0.0</v>
      </c>
      <c r="AF11" s="147">
        <v>1.0</v>
      </c>
    </row>
    <row r="12" ht="15.75" customHeight="1">
      <c r="A12" s="141">
        <v>48.0</v>
      </c>
      <c r="B12" s="142" t="s">
        <v>66</v>
      </c>
      <c r="C12" s="143" t="str">
        <f>HYPERLINK("https://azurlane.koumakan.jp/Vincennes","Vincennes")</f>
        <v>Vincennes</v>
      </c>
      <c r="D12" s="158" t="s">
        <v>28</v>
      </c>
      <c r="E12" s="145">
        <v>4107.0</v>
      </c>
      <c r="F12" s="145">
        <v>221.0</v>
      </c>
      <c r="G12" s="145">
        <v>0.0</v>
      </c>
      <c r="H12" s="145">
        <v>0.0</v>
      </c>
      <c r="I12" s="145">
        <v>235.0</v>
      </c>
      <c r="J12" s="145">
        <v>163.0</v>
      </c>
      <c r="K12" s="145">
        <v>59.0</v>
      </c>
      <c r="L12" s="145" t="s">
        <v>71</v>
      </c>
      <c r="M12" s="145">
        <v>26.0</v>
      </c>
      <c r="N12" s="145">
        <v>125.0</v>
      </c>
      <c r="O12" s="145">
        <v>12.0</v>
      </c>
      <c r="P12" s="145">
        <v>0.0</v>
      </c>
      <c r="Q12" s="145">
        <v>11.0</v>
      </c>
      <c r="R12" s="145">
        <v>0.0</v>
      </c>
      <c r="S12" s="145">
        <v>0.0</v>
      </c>
      <c r="T12" s="147" t="s">
        <v>37</v>
      </c>
      <c r="U12" s="164" t="s">
        <v>575</v>
      </c>
      <c r="V12" s="161" t="s">
        <v>1155</v>
      </c>
      <c r="W12" s="149" t="s">
        <v>551</v>
      </c>
      <c r="X12" s="149" t="s">
        <v>1156</v>
      </c>
      <c r="Y12" s="147" t="s">
        <v>66</v>
      </c>
      <c r="Z12" s="147" t="s">
        <v>27</v>
      </c>
      <c r="AA12" s="147" t="s">
        <v>11</v>
      </c>
      <c r="AB12" s="147" t="s">
        <v>1157</v>
      </c>
      <c r="AC12" s="147">
        <v>2.0</v>
      </c>
      <c r="AD12" s="147">
        <v>0.0</v>
      </c>
      <c r="AE12" s="147">
        <v>0.0</v>
      </c>
      <c r="AF12" s="147">
        <v>1.0</v>
      </c>
    </row>
    <row r="13" ht="15.75" customHeight="1">
      <c r="A13" s="141">
        <v>49.0</v>
      </c>
      <c r="B13" s="142" t="s">
        <v>66</v>
      </c>
      <c r="C13" s="143" t="str">
        <f>HYPERLINK("https://azurlane.koumakan.jp/Wichita","Wichita")</f>
        <v>Wichita</v>
      </c>
      <c r="D13" s="158" t="s">
        <v>28</v>
      </c>
      <c r="E13" s="145">
        <v>3795.0</v>
      </c>
      <c r="F13" s="145">
        <v>271.0</v>
      </c>
      <c r="G13" s="145">
        <v>0.0</v>
      </c>
      <c r="H13" s="145">
        <v>0.0</v>
      </c>
      <c r="I13" s="145">
        <v>227.0</v>
      </c>
      <c r="J13" s="145">
        <v>182.0</v>
      </c>
      <c r="K13" s="145">
        <v>51.0</v>
      </c>
      <c r="L13" s="145" t="s">
        <v>29</v>
      </c>
      <c r="M13" s="145">
        <v>26.0</v>
      </c>
      <c r="N13" s="145">
        <v>135.0</v>
      </c>
      <c r="O13" s="145">
        <v>70.0</v>
      </c>
      <c r="P13" s="145">
        <v>0.0</v>
      </c>
      <c r="Q13" s="145">
        <v>11.0</v>
      </c>
      <c r="R13" s="145">
        <v>0.0</v>
      </c>
      <c r="S13" s="145">
        <v>0.0</v>
      </c>
      <c r="T13" s="147" t="s">
        <v>37</v>
      </c>
      <c r="U13" s="148" t="s">
        <v>881</v>
      </c>
      <c r="V13" s="164" t="s">
        <v>1158</v>
      </c>
      <c r="W13" s="149" t="s">
        <v>551</v>
      </c>
      <c r="X13" s="149" t="s">
        <v>1159</v>
      </c>
      <c r="Y13" s="147" t="s">
        <v>66</v>
      </c>
      <c r="Z13" s="147" t="s">
        <v>27</v>
      </c>
      <c r="AA13" s="147" t="s">
        <v>11</v>
      </c>
      <c r="AB13" s="147" t="s">
        <v>1160</v>
      </c>
      <c r="AC13" s="147">
        <v>2.0</v>
      </c>
      <c r="AD13" s="147">
        <v>0.0</v>
      </c>
      <c r="AE13" s="147">
        <v>0.0</v>
      </c>
      <c r="AF13" s="147">
        <v>1.0</v>
      </c>
    </row>
    <row r="14">
      <c r="A14" s="182">
        <v>50.0</v>
      </c>
      <c r="B14" s="183" t="s">
        <v>66</v>
      </c>
      <c r="C14" s="152" t="str">
        <f>HYPERLINK("https://azurlane.koumakan.jp/Baltimore","Baltimore")</f>
        <v>Baltimore</v>
      </c>
      <c r="D14" s="170" t="s">
        <v>32</v>
      </c>
      <c r="E14" s="191">
        <v>4697.0</v>
      </c>
      <c r="F14" s="170">
        <v>274.0</v>
      </c>
      <c r="G14" s="170">
        <v>0.0</v>
      </c>
      <c r="H14" s="170">
        <v>0.0</v>
      </c>
      <c r="I14" s="170">
        <v>266.0</v>
      </c>
      <c r="J14" s="170">
        <v>186.0</v>
      </c>
      <c r="K14" s="170">
        <v>59.0</v>
      </c>
      <c r="L14" s="170" t="s">
        <v>71</v>
      </c>
      <c r="M14" s="170">
        <v>26.0</v>
      </c>
      <c r="N14" s="170">
        <v>139.0</v>
      </c>
      <c r="O14" s="192">
        <v>56.0</v>
      </c>
      <c r="P14" s="170">
        <v>0.0</v>
      </c>
      <c r="Q14" s="170">
        <v>12.0</v>
      </c>
      <c r="R14" s="170">
        <v>0.0</v>
      </c>
      <c r="S14" s="170">
        <v>0.0</v>
      </c>
      <c r="T14" s="147" t="s">
        <v>37</v>
      </c>
      <c r="U14" s="173" t="s">
        <v>1161</v>
      </c>
      <c r="V14" s="172" t="s">
        <v>1162</v>
      </c>
      <c r="W14" s="195" t="s">
        <v>551</v>
      </c>
      <c r="X14" s="153" t="s">
        <v>1163</v>
      </c>
      <c r="Y14" s="147" t="s">
        <v>66</v>
      </c>
      <c r="Z14" s="147" t="s">
        <v>27</v>
      </c>
      <c r="AA14" s="147" t="s">
        <v>11</v>
      </c>
      <c r="AB14" s="228" t="s">
        <v>1164</v>
      </c>
      <c r="AC14" s="153">
        <v>2.0</v>
      </c>
      <c r="AD14" s="153">
        <v>0.0</v>
      </c>
      <c r="AE14" s="153">
        <v>0.0</v>
      </c>
      <c r="AF14" s="153">
        <v>1.0</v>
      </c>
    </row>
    <row r="15" ht="15.75" customHeight="1">
      <c r="A15" s="141">
        <v>119.0</v>
      </c>
      <c r="B15" s="142" t="s">
        <v>66</v>
      </c>
      <c r="C15" s="143" t="str">
        <f>HYPERLINK("https://azurlane.koumakan.jp/London","London")</f>
        <v>London</v>
      </c>
      <c r="D15" s="158" t="s">
        <v>28</v>
      </c>
      <c r="E15" s="145">
        <v>3644.0</v>
      </c>
      <c r="F15" s="145">
        <v>226.0</v>
      </c>
      <c r="G15" s="145">
        <v>226.0</v>
      </c>
      <c r="H15" s="145">
        <v>0.0</v>
      </c>
      <c r="I15" s="145">
        <v>217.0</v>
      </c>
      <c r="J15" s="145">
        <v>167.0</v>
      </c>
      <c r="K15" s="145">
        <v>69.0</v>
      </c>
      <c r="L15" s="145" t="s">
        <v>29</v>
      </c>
      <c r="M15" s="145">
        <v>25.0</v>
      </c>
      <c r="N15" s="145">
        <v>120.0</v>
      </c>
      <c r="O15" s="145">
        <v>62.0</v>
      </c>
      <c r="P15" s="145">
        <v>0.0</v>
      </c>
      <c r="Q15" s="145">
        <v>11.0</v>
      </c>
      <c r="R15" s="145">
        <v>0.0</v>
      </c>
      <c r="S15" s="145">
        <v>0.0</v>
      </c>
      <c r="T15" s="147" t="s">
        <v>104</v>
      </c>
      <c r="U15" s="148" t="s">
        <v>1006</v>
      </c>
      <c r="V15" s="149" t="s">
        <v>551</v>
      </c>
      <c r="W15" s="149" t="s">
        <v>551</v>
      </c>
      <c r="X15" s="149" t="s">
        <v>1165</v>
      </c>
      <c r="Y15" s="147" t="s">
        <v>66</v>
      </c>
      <c r="Z15" s="147" t="s">
        <v>557</v>
      </c>
      <c r="AA15" s="147" t="s">
        <v>11</v>
      </c>
      <c r="AB15" s="147" t="s">
        <v>1166</v>
      </c>
      <c r="AC15" s="147">
        <v>1.0</v>
      </c>
      <c r="AD15" s="147">
        <v>2.0</v>
      </c>
      <c r="AE15" s="147">
        <v>1.0</v>
      </c>
      <c r="AF15" s="147">
        <v>1.0</v>
      </c>
    </row>
    <row r="16" ht="15.75" customHeight="1">
      <c r="A16" s="182">
        <v>119.1</v>
      </c>
      <c r="B16" s="183" t="s">
        <v>66</v>
      </c>
      <c r="C16" s="152" t="str">
        <f>HYPERLINK("https://azurlane.koumakan.jp/London#Retrofit","London (R)")</f>
        <v>London (R)</v>
      </c>
      <c r="D16" s="170" t="s">
        <v>32</v>
      </c>
      <c r="E16" s="170">
        <v>3924.0</v>
      </c>
      <c r="F16" s="170">
        <v>236.0</v>
      </c>
      <c r="G16" s="170">
        <v>226.0</v>
      </c>
      <c r="H16" s="170">
        <v>0.0</v>
      </c>
      <c r="I16" s="170">
        <v>302.0</v>
      </c>
      <c r="J16" s="170">
        <v>167.0</v>
      </c>
      <c r="K16" s="170">
        <v>84.0</v>
      </c>
      <c r="L16" s="170" t="s">
        <v>29</v>
      </c>
      <c r="M16" s="170">
        <v>25.0</v>
      </c>
      <c r="N16" s="170">
        <v>140.0</v>
      </c>
      <c r="O16" s="170">
        <v>62.0</v>
      </c>
      <c r="P16" s="170">
        <v>0.0</v>
      </c>
      <c r="Q16" s="170">
        <v>11.0</v>
      </c>
      <c r="R16" s="170">
        <v>0.0</v>
      </c>
      <c r="S16" s="170">
        <v>0.0</v>
      </c>
      <c r="T16" s="147" t="s">
        <v>104</v>
      </c>
      <c r="U16" s="148" t="s">
        <v>1006</v>
      </c>
      <c r="V16" s="149" t="s">
        <v>551</v>
      </c>
      <c r="W16" s="164" t="s">
        <v>1167</v>
      </c>
      <c r="X16" s="149" t="s">
        <v>1165</v>
      </c>
      <c r="Y16" s="147" t="s">
        <v>66</v>
      </c>
      <c r="Z16" s="147" t="s">
        <v>557</v>
      </c>
      <c r="AA16" s="147" t="s">
        <v>11</v>
      </c>
      <c r="AB16" s="147" t="s">
        <v>1168</v>
      </c>
      <c r="AC16" s="147">
        <v>1.0</v>
      </c>
      <c r="AD16" s="147">
        <v>1.0</v>
      </c>
      <c r="AE16" s="147">
        <v>1.0</v>
      </c>
      <c r="AF16" s="147">
        <v>1.0</v>
      </c>
    </row>
    <row r="17" ht="15.75" customHeight="1">
      <c r="A17" s="141">
        <v>120.0</v>
      </c>
      <c r="B17" s="142" t="s">
        <v>66</v>
      </c>
      <c r="C17" s="143" t="str">
        <f>HYPERLINK("https://azurlane.koumakan.jp/Shropshire","Shropshire")</f>
        <v>Shropshire</v>
      </c>
      <c r="D17" s="158" t="s">
        <v>36</v>
      </c>
      <c r="E17" s="145">
        <v>3542.0</v>
      </c>
      <c r="F17" s="145">
        <v>221.0</v>
      </c>
      <c r="G17" s="145">
        <v>218.0</v>
      </c>
      <c r="H17" s="145">
        <v>0.0</v>
      </c>
      <c r="I17" s="145">
        <v>212.0</v>
      </c>
      <c r="J17" s="145">
        <v>162.0</v>
      </c>
      <c r="K17" s="145">
        <v>69.0</v>
      </c>
      <c r="L17" s="145" t="s">
        <v>29</v>
      </c>
      <c r="M17" s="145">
        <v>25.0</v>
      </c>
      <c r="N17" s="145">
        <v>120.0</v>
      </c>
      <c r="O17" s="145">
        <v>75.0</v>
      </c>
      <c r="P17" s="145">
        <v>0.0</v>
      </c>
      <c r="Q17" s="145">
        <v>10.0</v>
      </c>
      <c r="R17" s="145">
        <v>0.0</v>
      </c>
      <c r="S17" s="145">
        <v>0.0</v>
      </c>
      <c r="T17" s="147" t="s">
        <v>104</v>
      </c>
      <c r="U17" s="164" t="s">
        <v>1158</v>
      </c>
      <c r="V17" s="149" t="s">
        <v>551</v>
      </c>
      <c r="W17" s="149" t="s">
        <v>551</v>
      </c>
      <c r="X17" s="149" t="s">
        <v>1165</v>
      </c>
      <c r="Y17" s="147" t="s">
        <v>66</v>
      </c>
      <c r="Z17" s="147" t="s">
        <v>557</v>
      </c>
      <c r="AA17" s="147" t="s">
        <v>11</v>
      </c>
      <c r="AB17" s="147" t="s">
        <v>1166</v>
      </c>
      <c r="AC17" s="147">
        <v>1.0</v>
      </c>
      <c r="AD17" s="147">
        <v>2.0</v>
      </c>
      <c r="AE17" s="147">
        <v>1.0</v>
      </c>
      <c r="AF17" s="147">
        <v>1.0</v>
      </c>
    </row>
    <row r="18" ht="15.75" customHeight="1">
      <c r="A18" s="141">
        <v>121.0</v>
      </c>
      <c r="B18" s="142" t="s">
        <v>66</v>
      </c>
      <c r="C18" s="143" t="str">
        <f>HYPERLINK("https://azurlane.koumakan.jp/Kent","Kent")</f>
        <v>Kent</v>
      </c>
      <c r="D18" s="158" t="s">
        <v>36</v>
      </c>
      <c r="E18" s="145">
        <v>3589.0</v>
      </c>
      <c r="F18" s="145">
        <v>221.0</v>
      </c>
      <c r="G18" s="145">
        <v>218.0</v>
      </c>
      <c r="H18" s="145">
        <v>0.0</v>
      </c>
      <c r="I18" s="145">
        <v>212.0</v>
      </c>
      <c r="J18" s="145">
        <v>162.0</v>
      </c>
      <c r="K18" s="145">
        <v>67.0</v>
      </c>
      <c r="L18" s="145" t="s">
        <v>29</v>
      </c>
      <c r="M18" s="145">
        <v>25.0</v>
      </c>
      <c r="N18" s="145">
        <v>120.0</v>
      </c>
      <c r="O18" s="145">
        <v>71.0</v>
      </c>
      <c r="P18" s="145">
        <v>0.0</v>
      </c>
      <c r="Q18" s="145">
        <v>10.0</v>
      </c>
      <c r="R18" s="145">
        <v>0.0</v>
      </c>
      <c r="S18" s="145">
        <v>0.0</v>
      </c>
      <c r="T18" s="147" t="s">
        <v>104</v>
      </c>
      <c r="U18" s="148" t="s">
        <v>899</v>
      </c>
      <c r="V18" s="149" t="s">
        <v>551</v>
      </c>
      <c r="W18" s="149" t="s">
        <v>551</v>
      </c>
      <c r="X18" s="149" t="s">
        <v>1169</v>
      </c>
      <c r="Y18" s="147" t="s">
        <v>66</v>
      </c>
      <c r="Z18" s="147" t="s">
        <v>557</v>
      </c>
      <c r="AA18" s="147" t="s">
        <v>11</v>
      </c>
      <c r="AB18" s="147" t="s">
        <v>1166</v>
      </c>
      <c r="AC18" s="147">
        <v>1.0</v>
      </c>
      <c r="AD18" s="147">
        <v>2.0</v>
      </c>
      <c r="AE18" s="147">
        <v>1.0</v>
      </c>
      <c r="AF18" s="147">
        <v>1.0</v>
      </c>
    </row>
    <row r="19" ht="15.75" customHeight="1">
      <c r="A19" s="141">
        <v>122.0</v>
      </c>
      <c r="B19" s="142" t="s">
        <v>66</v>
      </c>
      <c r="C19" s="143" t="str">
        <f>HYPERLINK("https://azurlane.koumakan.jp/Suffolk","Suffolk")</f>
        <v>Suffolk</v>
      </c>
      <c r="D19" s="158" t="s">
        <v>36</v>
      </c>
      <c r="E19" s="145">
        <v>3554.0</v>
      </c>
      <c r="F19" s="145">
        <v>221.0</v>
      </c>
      <c r="G19" s="145">
        <v>218.0</v>
      </c>
      <c r="H19" s="145">
        <v>0.0</v>
      </c>
      <c r="I19" s="145">
        <v>212.0</v>
      </c>
      <c r="J19" s="145">
        <v>162.0</v>
      </c>
      <c r="K19" s="145">
        <v>67.0</v>
      </c>
      <c r="L19" s="145" t="s">
        <v>29</v>
      </c>
      <c r="M19" s="145">
        <v>25.0</v>
      </c>
      <c r="N19" s="145">
        <v>120.0</v>
      </c>
      <c r="O19" s="145">
        <v>72.0</v>
      </c>
      <c r="P19" s="145">
        <v>0.0</v>
      </c>
      <c r="Q19" s="145">
        <v>10.0</v>
      </c>
      <c r="R19" s="145">
        <v>0.0</v>
      </c>
      <c r="S19" s="145">
        <v>0.0</v>
      </c>
      <c r="T19" s="147" t="s">
        <v>104</v>
      </c>
      <c r="U19" s="164" t="s">
        <v>1158</v>
      </c>
      <c r="V19" s="149" t="s">
        <v>551</v>
      </c>
      <c r="W19" s="149" t="s">
        <v>551</v>
      </c>
      <c r="X19" s="149" t="s">
        <v>1169</v>
      </c>
      <c r="Y19" s="147" t="s">
        <v>66</v>
      </c>
      <c r="Z19" s="147" t="s">
        <v>557</v>
      </c>
      <c r="AA19" s="147" t="s">
        <v>11</v>
      </c>
      <c r="AB19" s="147" t="s">
        <v>1166</v>
      </c>
      <c r="AC19" s="147">
        <v>1.0</v>
      </c>
      <c r="AD19" s="147">
        <v>2.0</v>
      </c>
      <c r="AE19" s="147">
        <v>1.0</v>
      </c>
      <c r="AF19" s="147">
        <v>1.0</v>
      </c>
    </row>
    <row r="20" ht="15.75" customHeight="1">
      <c r="A20" s="141">
        <v>122.1</v>
      </c>
      <c r="B20" s="142" t="s">
        <v>66</v>
      </c>
      <c r="C20" s="143" t="str">
        <f>HYPERLINK("https://azurlane.koumakan.jp/Suffolk#Retrofit","Suffolk (R)")</f>
        <v>Suffolk (R)</v>
      </c>
      <c r="D20" s="158" t="s">
        <v>28</v>
      </c>
      <c r="E20" s="158">
        <v>3834.0</v>
      </c>
      <c r="F20" s="145">
        <v>276.0</v>
      </c>
      <c r="G20" s="145">
        <v>248.0</v>
      </c>
      <c r="H20" s="145">
        <v>0.0</v>
      </c>
      <c r="I20" s="145">
        <v>212.0</v>
      </c>
      <c r="J20" s="145">
        <v>167.0</v>
      </c>
      <c r="K20" s="145">
        <v>67.0</v>
      </c>
      <c r="L20" s="145" t="s">
        <v>29</v>
      </c>
      <c r="M20" s="145">
        <v>25.0</v>
      </c>
      <c r="N20" s="145">
        <v>120.0</v>
      </c>
      <c r="O20" s="169">
        <v>72.0</v>
      </c>
      <c r="P20" s="145">
        <v>0.0</v>
      </c>
      <c r="Q20" s="145">
        <v>10.0</v>
      </c>
      <c r="R20" s="145">
        <v>0.0</v>
      </c>
      <c r="S20" s="145">
        <v>0.0</v>
      </c>
      <c r="T20" s="147" t="s">
        <v>104</v>
      </c>
      <c r="U20" s="164" t="s">
        <v>1158</v>
      </c>
      <c r="V20" s="149" t="s">
        <v>551</v>
      </c>
      <c r="W20" s="164" t="s">
        <v>575</v>
      </c>
      <c r="X20" s="149" t="s">
        <v>1169</v>
      </c>
      <c r="Y20" s="147" t="s">
        <v>66</v>
      </c>
      <c r="Z20" s="147" t="s">
        <v>557</v>
      </c>
      <c r="AA20" s="147" t="s">
        <v>11</v>
      </c>
      <c r="AB20" s="147" t="s">
        <v>1170</v>
      </c>
      <c r="AC20" s="147">
        <v>1.0</v>
      </c>
      <c r="AD20" s="147">
        <v>2.0</v>
      </c>
      <c r="AE20" s="147">
        <v>1.0</v>
      </c>
      <c r="AF20" s="147">
        <v>1.0</v>
      </c>
    </row>
    <row r="21" ht="15.75" customHeight="1">
      <c r="A21" s="141">
        <v>123.0</v>
      </c>
      <c r="B21" s="142" t="s">
        <v>66</v>
      </c>
      <c r="C21" s="143" t="str">
        <f>HYPERLINK("https://azurlane.koumakan.jp/Norfolk","Norfolk")</f>
        <v>Norfolk</v>
      </c>
      <c r="D21" s="158" t="s">
        <v>36</v>
      </c>
      <c r="E21" s="145">
        <v>4727.0</v>
      </c>
      <c r="F21" s="145">
        <v>180.0</v>
      </c>
      <c r="G21" s="145">
        <v>143.0</v>
      </c>
      <c r="H21" s="145">
        <v>0.0</v>
      </c>
      <c r="I21" s="145">
        <v>247.0</v>
      </c>
      <c r="J21" s="145">
        <v>162.0</v>
      </c>
      <c r="K21" s="145">
        <v>71.0</v>
      </c>
      <c r="L21" s="145" t="s">
        <v>71</v>
      </c>
      <c r="M21" s="145">
        <v>25.0</v>
      </c>
      <c r="N21" s="145">
        <v>120.0</v>
      </c>
      <c r="O21" s="145">
        <v>69.0</v>
      </c>
      <c r="P21" s="145">
        <v>0.0</v>
      </c>
      <c r="Q21" s="145">
        <v>10.0</v>
      </c>
      <c r="R21" s="145">
        <v>0.0</v>
      </c>
      <c r="S21" s="145">
        <v>0.0</v>
      </c>
      <c r="T21" s="147" t="s">
        <v>104</v>
      </c>
      <c r="U21" s="161" t="s">
        <v>1171</v>
      </c>
      <c r="V21" s="149" t="s">
        <v>551</v>
      </c>
      <c r="W21" s="149" t="s">
        <v>551</v>
      </c>
      <c r="X21" s="149" t="s">
        <v>1172</v>
      </c>
      <c r="Y21" s="147" t="s">
        <v>66</v>
      </c>
      <c r="Z21" s="147" t="s">
        <v>557</v>
      </c>
      <c r="AA21" s="147" t="s">
        <v>11</v>
      </c>
      <c r="AB21" s="147" t="s">
        <v>1173</v>
      </c>
      <c r="AC21" s="147">
        <v>1.0</v>
      </c>
      <c r="AD21" s="147">
        <v>2.0</v>
      </c>
      <c r="AE21" s="147">
        <v>1.0</v>
      </c>
      <c r="AF21" s="147">
        <v>1.0</v>
      </c>
    </row>
    <row r="22" ht="15.75" customHeight="1">
      <c r="A22" s="141">
        <v>124.0</v>
      </c>
      <c r="B22" s="142" t="s">
        <v>66</v>
      </c>
      <c r="C22" s="143" t="str">
        <f>HYPERLINK("https://azurlane.koumakan.jp/Dorsetshire","Dorsetshire")</f>
        <v>Dorsetshire</v>
      </c>
      <c r="D22" s="158" t="s">
        <v>28</v>
      </c>
      <c r="E22" s="145">
        <v>4865.0</v>
      </c>
      <c r="F22" s="145">
        <v>185.0</v>
      </c>
      <c r="G22" s="145">
        <v>248.0</v>
      </c>
      <c r="H22" s="145">
        <v>0.0</v>
      </c>
      <c r="I22" s="145">
        <v>255.0</v>
      </c>
      <c r="J22" s="145">
        <v>167.0</v>
      </c>
      <c r="K22" s="145">
        <v>71.0</v>
      </c>
      <c r="L22" s="145" t="s">
        <v>71</v>
      </c>
      <c r="M22" s="145">
        <v>25.0</v>
      </c>
      <c r="N22" s="145">
        <v>120.0</v>
      </c>
      <c r="O22" s="145">
        <v>33.0</v>
      </c>
      <c r="P22" s="145">
        <v>0.0</v>
      </c>
      <c r="Q22" s="145">
        <v>10.0</v>
      </c>
      <c r="R22" s="145">
        <v>0.0</v>
      </c>
      <c r="S22" s="145">
        <v>0.0</v>
      </c>
      <c r="T22" s="147" t="s">
        <v>104</v>
      </c>
      <c r="U22" s="164" t="s">
        <v>1174</v>
      </c>
      <c r="V22" s="149" t="s">
        <v>551</v>
      </c>
      <c r="W22" s="149" t="s">
        <v>551</v>
      </c>
      <c r="X22" s="149" t="s">
        <v>1172</v>
      </c>
      <c r="Y22" s="147" t="s">
        <v>66</v>
      </c>
      <c r="Z22" s="147" t="s">
        <v>557</v>
      </c>
      <c r="AA22" s="147" t="s">
        <v>11</v>
      </c>
      <c r="AB22" s="147" t="s">
        <v>1175</v>
      </c>
      <c r="AC22" s="147">
        <v>1.0</v>
      </c>
      <c r="AD22" s="147">
        <v>2.0</v>
      </c>
      <c r="AE22" s="147">
        <v>1.0</v>
      </c>
      <c r="AF22" s="147">
        <v>1.0</v>
      </c>
    </row>
    <row r="23" ht="15.75" customHeight="1">
      <c r="A23" s="141">
        <v>125.0</v>
      </c>
      <c r="B23" s="142" t="s">
        <v>66</v>
      </c>
      <c r="C23" s="143" t="str">
        <f>HYPERLINK("https://azurlane.koumakan.jp/York","York")</f>
        <v>York</v>
      </c>
      <c r="D23" s="158" t="s">
        <v>28</v>
      </c>
      <c r="E23" s="165">
        <v>3761.0</v>
      </c>
      <c r="F23" s="145">
        <v>229.0</v>
      </c>
      <c r="G23" s="145">
        <v>196.0</v>
      </c>
      <c r="H23" s="145">
        <v>0.0</v>
      </c>
      <c r="I23" s="145">
        <v>248.0</v>
      </c>
      <c r="J23" s="145">
        <v>178.0</v>
      </c>
      <c r="K23" s="145">
        <v>75.0</v>
      </c>
      <c r="L23" s="145" t="s">
        <v>71</v>
      </c>
      <c r="M23" s="145">
        <v>25.0</v>
      </c>
      <c r="N23" s="145">
        <v>134.0</v>
      </c>
      <c r="O23" s="166">
        <v>15.0</v>
      </c>
      <c r="P23" s="145">
        <v>0.0</v>
      </c>
      <c r="Q23" s="145">
        <v>11.0</v>
      </c>
      <c r="R23" s="145">
        <v>0.0</v>
      </c>
      <c r="S23" s="145">
        <v>0.0</v>
      </c>
      <c r="T23" s="147" t="s">
        <v>104</v>
      </c>
      <c r="U23" s="164" t="s">
        <v>1176</v>
      </c>
      <c r="V23" s="149" t="s">
        <v>551</v>
      </c>
      <c r="W23" s="149" t="s">
        <v>551</v>
      </c>
      <c r="X23" s="149" t="s">
        <v>1177</v>
      </c>
      <c r="Y23" s="147" t="s">
        <v>66</v>
      </c>
      <c r="Z23" s="147" t="s">
        <v>557</v>
      </c>
      <c r="AA23" s="147" t="s">
        <v>11</v>
      </c>
      <c r="AB23" s="147" t="s">
        <v>1178</v>
      </c>
      <c r="AC23" s="147">
        <v>1.0</v>
      </c>
      <c r="AD23" s="147">
        <v>2.0</v>
      </c>
      <c r="AE23" s="147">
        <v>1.0</v>
      </c>
      <c r="AF23" s="147">
        <v>1.0</v>
      </c>
    </row>
    <row r="24" ht="15.75" customHeight="1">
      <c r="A24" s="141">
        <v>125.1</v>
      </c>
      <c r="B24" s="142" t="s">
        <v>66</v>
      </c>
      <c r="C24" s="143" t="str">
        <f>HYPERLINK("https://azurlane.koumakan.jp/York#Retrofit","York (R)")</f>
        <v>York (R)</v>
      </c>
      <c r="D24" s="158" t="s">
        <v>32</v>
      </c>
      <c r="E24" s="144">
        <v>4001.0</v>
      </c>
      <c r="F24" s="145">
        <v>289.0</v>
      </c>
      <c r="G24" s="145">
        <v>196.0</v>
      </c>
      <c r="H24" s="145">
        <v>0.0</v>
      </c>
      <c r="I24" s="145">
        <v>263.0</v>
      </c>
      <c r="J24" s="168">
        <v>193.0</v>
      </c>
      <c r="K24" s="168">
        <v>95.0</v>
      </c>
      <c r="L24" s="145" t="s">
        <v>71</v>
      </c>
      <c r="M24" s="145">
        <v>25.0</v>
      </c>
      <c r="N24" s="145">
        <v>134.0</v>
      </c>
      <c r="O24" s="146">
        <v>15.0</v>
      </c>
      <c r="P24" s="145">
        <v>0.0</v>
      </c>
      <c r="Q24" s="145">
        <v>11.0</v>
      </c>
      <c r="R24" s="145">
        <v>0.0</v>
      </c>
      <c r="S24" s="145">
        <v>0.0</v>
      </c>
      <c r="T24" s="147" t="s">
        <v>104</v>
      </c>
      <c r="U24" s="164" t="s">
        <v>1176</v>
      </c>
      <c r="V24" s="149" t="s">
        <v>551</v>
      </c>
      <c r="W24" s="148" t="s">
        <v>1179</v>
      </c>
      <c r="X24" s="149" t="s">
        <v>1177</v>
      </c>
      <c r="Y24" s="147" t="s">
        <v>66</v>
      </c>
      <c r="Z24" s="147" t="s">
        <v>557</v>
      </c>
      <c r="AA24" s="147" t="s">
        <v>11</v>
      </c>
      <c r="AB24" s="147" t="s">
        <v>1180</v>
      </c>
      <c r="AC24" s="147">
        <v>1.0</v>
      </c>
      <c r="AD24" s="147">
        <v>2.0</v>
      </c>
      <c r="AE24" s="147">
        <v>1.0</v>
      </c>
      <c r="AF24" s="147">
        <v>1.0</v>
      </c>
    </row>
    <row r="25" ht="15.75" customHeight="1">
      <c r="A25" s="141">
        <v>126.0</v>
      </c>
      <c r="B25" s="142" t="s">
        <v>66</v>
      </c>
      <c r="C25" s="143" t="str">
        <f>HYPERLINK("https://azurlane.koumakan.jp/Exeter","Exeter")</f>
        <v>Exeter</v>
      </c>
      <c r="D25" s="158" t="s">
        <v>28</v>
      </c>
      <c r="E25" s="165">
        <v>3791.0</v>
      </c>
      <c r="F25" s="145">
        <v>229.0</v>
      </c>
      <c r="G25" s="145">
        <v>196.0</v>
      </c>
      <c r="H25" s="145">
        <v>0.0</v>
      </c>
      <c r="I25" s="145">
        <v>248.0</v>
      </c>
      <c r="J25" s="145">
        <v>178.0</v>
      </c>
      <c r="K25" s="145">
        <v>75.0</v>
      </c>
      <c r="L25" s="145" t="s">
        <v>71</v>
      </c>
      <c r="M25" s="145">
        <v>25.0</v>
      </c>
      <c r="N25" s="145">
        <v>129.0</v>
      </c>
      <c r="O25" s="166">
        <v>49.0</v>
      </c>
      <c r="P25" s="145">
        <v>0.0</v>
      </c>
      <c r="Q25" s="145">
        <v>11.0</v>
      </c>
      <c r="R25" s="145">
        <v>0.0</v>
      </c>
      <c r="S25" s="145">
        <v>0.0</v>
      </c>
      <c r="T25" s="147" t="s">
        <v>104</v>
      </c>
      <c r="U25" s="164" t="s">
        <v>575</v>
      </c>
      <c r="V25" s="148" t="s">
        <v>1148</v>
      </c>
      <c r="W25" s="149" t="s">
        <v>551</v>
      </c>
      <c r="X25" s="149" t="s">
        <v>1177</v>
      </c>
      <c r="Y25" s="147" t="s">
        <v>66</v>
      </c>
      <c r="Z25" s="147" t="s">
        <v>557</v>
      </c>
      <c r="AA25" s="147" t="s">
        <v>11</v>
      </c>
      <c r="AB25" s="147" t="s">
        <v>1181</v>
      </c>
      <c r="AC25" s="147">
        <v>1.0</v>
      </c>
      <c r="AD25" s="147">
        <v>2.0</v>
      </c>
      <c r="AE25" s="147">
        <v>1.0</v>
      </c>
      <c r="AF25" s="147">
        <v>1.0</v>
      </c>
    </row>
    <row r="26" ht="15.75" customHeight="1">
      <c r="A26" s="141">
        <v>126.1</v>
      </c>
      <c r="B26" s="142" t="s">
        <v>66</v>
      </c>
      <c r="C26" s="143" t="str">
        <f>HYPERLINK("https://azurlane.koumakan.jp/Exeter#Retrofit","Exeter (R)")</f>
        <v>Exeter (R)</v>
      </c>
      <c r="D26" s="158" t="s">
        <v>32</v>
      </c>
      <c r="E26" s="144">
        <v>4031.0</v>
      </c>
      <c r="F26" s="145">
        <v>269.0</v>
      </c>
      <c r="G26" s="145">
        <v>196.0</v>
      </c>
      <c r="H26" s="145">
        <v>0.0</v>
      </c>
      <c r="I26" s="145">
        <v>263.0</v>
      </c>
      <c r="J26" s="168">
        <v>193.0</v>
      </c>
      <c r="K26" s="145">
        <v>75.0</v>
      </c>
      <c r="L26" s="145" t="s">
        <v>71</v>
      </c>
      <c r="M26" s="145">
        <v>25.0</v>
      </c>
      <c r="N26" s="168">
        <v>154.0</v>
      </c>
      <c r="O26" s="146">
        <v>49.0</v>
      </c>
      <c r="P26" s="145">
        <v>0.0</v>
      </c>
      <c r="Q26" s="145">
        <v>11.0</v>
      </c>
      <c r="R26" s="145">
        <v>0.0</v>
      </c>
      <c r="S26" s="145">
        <v>0.0</v>
      </c>
      <c r="T26" s="147" t="s">
        <v>104</v>
      </c>
      <c r="U26" s="164" t="s">
        <v>575</v>
      </c>
      <c r="V26" s="148" t="s">
        <v>1148</v>
      </c>
      <c r="W26" s="164" t="s">
        <v>907</v>
      </c>
      <c r="X26" s="149" t="s">
        <v>1177</v>
      </c>
      <c r="Y26" s="147" t="s">
        <v>66</v>
      </c>
      <c r="Z26" s="147" t="s">
        <v>557</v>
      </c>
      <c r="AA26" s="147" t="s">
        <v>11</v>
      </c>
      <c r="AB26" s="147" t="s">
        <v>1182</v>
      </c>
      <c r="AC26" s="147">
        <v>1.0</v>
      </c>
      <c r="AD26" s="147">
        <v>2.0</v>
      </c>
      <c r="AE26" s="147">
        <v>1.0</v>
      </c>
      <c r="AF26" s="147">
        <v>1.0</v>
      </c>
    </row>
    <row r="27" ht="15.75" customHeight="1">
      <c r="A27" s="141">
        <v>188.1</v>
      </c>
      <c r="B27" s="142" t="s">
        <v>66</v>
      </c>
      <c r="C27" s="143" t="str">
        <f>HYPERLINK("https://azurlane.koumakan.jp/Mogami#Retrofit","Mogami (R)")</f>
        <v>Mogami (R)</v>
      </c>
      <c r="D27" s="158" t="s">
        <v>32</v>
      </c>
      <c r="E27" s="144">
        <v>4724.0</v>
      </c>
      <c r="F27" s="145">
        <v>267.0</v>
      </c>
      <c r="G27" s="145">
        <v>205.0</v>
      </c>
      <c r="H27" s="145">
        <v>0.0</v>
      </c>
      <c r="I27" s="145">
        <v>237.0</v>
      </c>
      <c r="J27" s="145">
        <v>190.0</v>
      </c>
      <c r="K27" s="145">
        <v>83.0</v>
      </c>
      <c r="L27" s="145" t="s">
        <v>71</v>
      </c>
      <c r="M27" s="145">
        <v>29.0</v>
      </c>
      <c r="N27" s="145">
        <v>132.0</v>
      </c>
      <c r="O27" s="146">
        <v>14.0</v>
      </c>
      <c r="P27" s="145">
        <v>0.0</v>
      </c>
      <c r="Q27" s="145">
        <v>11.0</v>
      </c>
      <c r="R27" s="145">
        <v>0.0</v>
      </c>
      <c r="S27" s="145">
        <v>0.0</v>
      </c>
      <c r="T27" s="147" t="s">
        <v>143</v>
      </c>
      <c r="U27" s="164" t="s">
        <v>575</v>
      </c>
      <c r="V27" s="161" t="s">
        <v>949</v>
      </c>
      <c r="W27" s="164" t="s">
        <v>1183</v>
      </c>
      <c r="X27" s="149" t="s">
        <v>950</v>
      </c>
      <c r="Y27" s="147" t="s">
        <v>66</v>
      </c>
      <c r="Z27" s="147" t="s">
        <v>557</v>
      </c>
      <c r="AA27" s="147" t="s">
        <v>11</v>
      </c>
      <c r="AB27" s="147" t="s">
        <v>1184</v>
      </c>
      <c r="AC27" s="147">
        <v>2.0</v>
      </c>
      <c r="AD27" s="147">
        <v>1.0</v>
      </c>
      <c r="AE27" s="147">
        <v>1.0</v>
      </c>
      <c r="AF27" s="147">
        <v>1.0</v>
      </c>
    </row>
    <row r="28" ht="15.75" customHeight="1">
      <c r="A28" s="141">
        <v>190.0</v>
      </c>
      <c r="B28" s="142" t="s">
        <v>66</v>
      </c>
      <c r="C28" s="143" t="str">
        <f>HYPERLINK("https://azurlane.koumakan.jp/Furutaka","Furutaka")</f>
        <v>Furutaka</v>
      </c>
      <c r="D28" s="158" t="s">
        <v>40</v>
      </c>
      <c r="E28" s="165">
        <v>3518.0</v>
      </c>
      <c r="F28" s="145">
        <v>218.0</v>
      </c>
      <c r="G28" s="145">
        <v>193.0</v>
      </c>
      <c r="H28" s="145">
        <v>0.0</v>
      </c>
      <c r="I28" s="145">
        <v>164.0</v>
      </c>
      <c r="J28" s="145">
        <v>166.0</v>
      </c>
      <c r="K28" s="145">
        <v>78.0</v>
      </c>
      <c r="L28" s="145" t="s">
        <v>71</v>
      </c>
      <c r="M28" s="145">
        <v>31.0</v>
      </c>
      <c r="N28" s="145">
        <v>114.0</v>
      </c>
      <c r="O28" s="166">
        <v>34.0</v>
      </c>
      <c r="P28" s="145">
        <v>0.0</v>
      </c>
      <c r="Q28" s="145">
        <v>9.0</v>
      </c>
      <c r="R28" s="145">
        <v>0.0</v>
      </c>
      <c r="S28" s="145">
        <v>0.0</v>
      </c>
      <c r="T28" s="147" t="s">
        <v>143</v>
      </c>
      <c r="U28" s="164" t="s">
        <v>575</v>
      </c>
      <c r="V28" s="149" t="s">
        <v>551</v>
      </c>
      <c r="W28" s="149" t="s">
        <v>551</v>
      </c>
      <c r="X28" s="149" t="s">
        <v>1185</v>
      </c>
      <c r="Y28" s="147" t="s">
        <v>66</v>
      </c>
      <c r="Z28" s="147" t="s">
        <v>557</v>
      </c>
      <c r="AA28" s="147" t="s">
        <v>11</v>
      </c>
      <c r="AB28" s="147" t="s">
        <v>1186</v>
      </c>
      <c r="AC28" s="147">
        <v>1.0</v>
      </c>
      <c r="AD28" s="147">
        <v>2.0</v>
      </c>
      <c r="AE28" s="147">
        <v>1.0</v>
      </c>
      <c r="AF28" s="147">
        <v>1.0</v>
      </c>
    </row>
    <row r="29" ht="15.75" customHeight="1">
      <c r="A29" s="141">
        <v>190.1</v>
      </c>
      <c r="B29" s="142" t="s">
        <v>66</v>
      </c>
      <c r="C29" s="143" t="str">
        <f>HYPERLINK("https://azurlane.koumakan.jp/Furutaka#Retrofit","Furutaka (R)")</f>
        <v>Furutaka (R)</v>
      </c>
      <c r="D29" s="158" t="s">
        <v>36</v>
      </c>
      <c r="E29" s="144">
        <v>3798.0</v>
      </c>
      <c r="F29" s="145">
        <v>248.0</v>
      </c>
      <c r="G29" s="145">
        <v>238.0</v>
      </c>
      <c r="H29" s="145">
        <v>0.0</v>
      </c>
      <c r="I29" s="145">
        <v>179.0</v>
      </c>
      <c r="J29" s="145">
        <v>171.0</v>
      </c>
      <c r="K29" s="145">
        <v>78.0</v>
      </c>
      <c r="L29" s="145" t="s">
        <v>71</v>
      </c>
      <c r="M29" s="145">
        <v>31.0</v>
      </c>
      <c r="N29" s="145">
        <v>114.0</v>
      </c>
      <c r="O29" s="146">
        <v>34.0</v>
      </c>
      <c r="P29" s="145">
        <v>0.0</v>
      </c>
      <c r="Q29" s="145">
        <v>9.0</v>
      </c>
      <c r="R29" s="145">
        <v>0.0</v>
      </c>
      <c r="S29" s="145">
        <v>0.0</v>
      </c>
      <c r="T29" s="147" t="s">
        <v>143</v>
      </c>
      <c r="U29" s="164" t="s">
        <v>575</v>
      </c>
      <c r="V29" s="149" t="s">
        <v>551</v>
      </c>
      <c r="W29" s="164" t="s">
        <v>565</v>
      </c>
      <c r="X29" s="149" t="s">
        <v>1185</v>
      </c>
      <c r="Y29" s="147" t="s">
        <v>66</v>
      </c>
      <c r="Z29" s="147" t="s">
        <v>557</v>
      </c>
      <c r="AA29" s="147" t="s">
        <v>11</v>
      </c>
      <c r="AB29" s="147" t="s">
        <v>1187</v>
      </c>
      <c r="AC29" s="147">
        <v>1.0</v>
      </c>
      <c r="AD29" s="147">
        <v>2.0</v>
      </c>
      <c r="AE29" s="147">
        <v>1.0</v>
      </c>
      <c r="AF29" s="147">
        <v>1.0</v>
      </c>
    </row>
    <row r="30" ht="15.75" customHeight="1">
      <c r="A30" s="141">
        <v>191.0</v>
      </c>
      <c r="B30" s="142" t="s">
        <v>66</v>
      </c>
      <c r="C30" s="143" t="str">
        <f>HYPERLINK("https://azurlane.koumakan.jp/Kako","Kako")</f>
        <v>Kako</v>
      </c>
      <c r="D30" s="158" t="s">
        <v>40</v>
      </c>
      <c r="E30" s="165">
        <v>3518.0</v>
      </c>
      <c r="F30" s="145">
        <v>218.0</v>
      </c>
      <c r="G30" s="145">
        <v>193.0</v>
      </c>
      <c r="H30" s="145">
        <v>0.0</v>
      </c>
      <c r="I30" s="145">
        <v>164.0</v>
      </c>
      <c r="J30" s="145">
        <v>166.0</v>
      </c>
      <c r="K30" s="145">
        <v>78.0</v>
      </c>
      <c r="L30" s="145" t="s">
        <v>71</v>
      </c>
      <c r="M30" s="145">
        <v>31.0</v>
      </c>
      <c r="N30" s="145">
        <v>114.0</v>
      </c>
      <c r="O30" s="166">
        <v>34.0</v>
      </c>
      <c r="P30" s="145">
        <v>0.0</v>
      </c>
      <c r="Q30" s="145">
        <v>9.0</v>
      </c>
      <c r="R30" s="145">
        <v>0.0</v>
      </c>
      <c r="S30" s="145">
        <v>0.0</v>
      </c>
      <c r="T30" s="147" t="s">
        <v>143</v>
      </c>
      <c r="U30" s="164" t="s">
        <v>575</v>
      </c>
      <c r="V30" s="149" t="s">
        <v>551</v>
      </c>
      <c r="W30" s="149" t="s">
        <v>551</v>
      </c>
      <c r="X30" s="149" t="s">
        <v>1185</v>
      </c>
      <c r="Y30" s="147" t="s">
        <v>66</v>
      </c>
      <c r="Z30" s="147" t="s">
        <v>557</v>
      </c>
      <c r="AA30" s="147" t="s">
        <v>11</v>
      </c>
      <c r="AB30" s="147" t="s">
        <v>1186</v>
      </c>
      <c r="AC30" s="147">
        <v>1.0</v>
      </c>
      <c r="AD30" s="147">
        <v>2.0</v>
      </c>
      <c r="AE30" s="147">
        <v>1.0</v>
      </c>
      <c r="AF30" s="147">
        <v>1.0</v>
      </c>
    </row>
    <row r="31" ht="15.75" customHeight="1">
      <c r="A31" s="141">
        <v>191.1</v>
      </c>
      <c r="B31" s="142" t="s">
        <v>66</v>
      </c>
      <c r="C31" s="143" t="str">
        <f>HYPERLINK("https://azurlane.koumakan.jp/Kako#Retrofit","Kako (R)")</f>
        <v>Kako (R)</v>
      </c>
      <c r="D31" s="158" t="s">
        <v>36</v>
      </c>
      <c r="E31" s="144">
        <v>3798.0</v>
      </c>
      <c r="F31" s="145">
        <v>248.0</v>
      </c>
      <c r="G31" s="145">
        <v>238.0</v>
      </c>
      <c r="H31" s="145">
        <v>0.0</v>
      </c>
      <c r="I31" s="145">
        <v>179.0</v>
      </c>
      <c r="J31" s="145">
        <v>171.0</v>
      </c>
      <c r="K31" s="145">
        <v>78.0</v>
      </c>
      <c r="L31" s="145" t="s">
        <v>71</v>
      </c>
      <c r="M31" s="145">
        <v>31.0</v>
      </c>
      <c r="N31" s="145">
        <v>114.0</v>
      </c>
      <c r="O31" s="146">
        <v>34.0</v>
      </c>
      <c r="P31" s="145">
        <v>0.0</v>
      </c>
      <c r="Q31" s="145">
        <v>9.0</v>
      </c>
      <c r="R31" s="145">
        <v>0.0</v>
      </c>
      <c r="S31" s="145">
        <v>0.0</v>
      </c>
      <c r="T31" s="147" t="s">
        <v>143</v>
      </c>
      <c r="U31" s="164" t="s">
        <v>575</v>
      </c>
      <c r="V31" s="149" t="s">
        <v>551</v>
      </c>
      <c r="W31" s="164" t="s">
        <v>565</v>
      </c>
      <c r="X31" s="149" t="s">
        <v>1185</v>
      </c>
      <c r="Y31" s="147" t="s">
        <v>66</v>
      </c>
      <c r="Z31" s="147" t="s">
        <v>557</v>
      </c>
      <c r="AA31" s="147" t="s">
        <v>11</v>
      </c>
      <c r="AB31" s="147" t="s">
        <v>1187</v>
      </c>
      <c r="AC31" s="147">
        <v>1.0</v>
      </c>
      <c r="AD31" s="147">
        <v>2.0</v>
      </c>
      <c r="AE31" s="147">
        <v>1.0</v>
      </c>
      <c r="AF31" s="147">
        <v>1.0</v>
      </c>
    </row>
    <row r="32" ht="15.75" customHeight="1">
      <c r="A32" s="141">
        <v>192.0</v>
      </c>
      <c r="B32" s="142" t="s">
        <v>66</v>
      </c>
      <c r="C32" s="143" t="str">
        <f>HYPERLINK("https://azurlane.koumakan.jp/Aoba","Aoba")</f>
        <v>Aoba</v>
      </c>
      <c r="D32" s="158" t="s">
        <v>40</v>
      </c>
      <c r="E32" s="165">
        <v>3610.0</v>
      </c>
      <c r="F32" s="145">
        <v>218.0</v>
      </c>
      <c r="G32" s="145">
        <v>193.0</v>
      </c>
      <c r="H32" s="145">
        <v>0.0</v>
      </c>
      <c r="I32" s="145">
        <v>171.0</v>
      </c>
      <c r="J32" s="145">
        <v>166.0</v>
      </c>
      <c r="K32" s="145">
        <v>78.0</v>
      </c>
      <c r="L32" s="145" t="s">
        <v>71</v>
      </c>
      <c r="M32" s="145">
        <v>32.0</v>
      </c>
      <c r="N32" s="145">
        <v>114.0</v>
      </c>
      <c r="O32" s="166">
        <v>52.0</v>
      </c>
      <c r="P32" s="145">
        <v>0.0</v>
      </c>
      <c r="Q32" s="145">
        <v>9.0</v>
      </c>
      <c r="R32" s="145">
        <v>0.0</v>
      </c>
      <c r="S32" s="145">
        <v>0.0</v>
      </c>
      <c r="T32" s="147" t="s">
        <v>143</v>
      </c>
      <c r="U32" s="164" t="s">
        <v>575</v>
      </c>
      <c r="V32" s="149" t="s">
        <v>551</v>
      </c>
      <c r="W32" s="149" t="s">
        <v>551</v>
      </c>
      <c r="X32" s="149" t="s">
        <v>1188</v>
      </c>
      <c r="Y32" s="147" t="s">
        <v>66</v>
      </c>
      <c r="Z32" s="147" t="s">
        <v>557</v>
      </c>
      <c r="AA32" s="147" t="s">
        <v>11</v>
      </c>
      <c r="AB32" s="147" t="s">
        <v>1189</v>
      </c>
      <c r="AC32" s="147">
        <v>1.0</v>
      </c>
      <c r="AD32" s="147">
        <v>2.0</v>
      </c>
      <c r="AE32" s="147">
        <v>1.0</v>
      </c>
      <c r="AF32" s="147">
        <v>1.0</v>
      </c>
    </row>
    <row r="33" ht="15.75" customHeight="1">
      <c r="A33" s="141">
        <v>193.0</v>
      </c>
      <c r="B33" s="142" t="s">
        <v>66</v>
      </c>
      <c r="C33" s="143" t="str">
        <f>HYPERLINK("https://azurlane.koumakan.jp/Kinugasa","Kinugasa")</f>
        <v>Kinugasa</v>
      </c>
      <c r="D33" s="158" t="s">
        <v>40</v>
      </c>
      <c r="E33" s="165">
        <v>3610.0</v>
      </c>
      <c r="F33" s="145">
        <v>218.0</v>
      </c>
      <c r="G33" s="145">
        <v>193.0</v>
      </c>
      <c r="H33" s="145">
        <v>0.0</v>
      </c>
      <c r="I33" s="145">
        <v>171.0</v>
      </c>
      <c r="J33" s="145">
        <v>166.0</v>
      </c>
      <c r="K33" s="145">
        <v>78.0</v>
      </c>
      <c r="L33" s="145" t="s">
        <v>71</v>
      </c>
      <c r="M33" s="145">
        <v>32.0</v>
      </c>
      <c r="N33" s="145">
        <v>114.0</v>
      </c>
      <c r="O33" s="166">
        <v>65.0</v>
      </c>
      <c r="P33" s="145">
        <v>0.0</v>
      </c>
      <c r="Q33" s="145">
        <v>9.0</v>
      </c>
      <c r="R33" s="145">
        <v>0.0</v>
      </c>
      <c r="S33" s="145">
        <v>0.0</v>
      </c>
      <c r="T33" s="147" t="s">
        <v>143</v>
      </c>
      <c r="U33" s="164" t="s">
        <v>575</v>
      </c>
      <c r="V33" s="149" t="s">
        <v>551</v>
      </c>
      <c r="W33" s="149" t="s">
        <v>551</v>
      </c>
      <c r="X33" s="149" t="s">
        <v>1188</v>
      </c>
      <c r="Y33" s="147" t="s">
        <v>66</v>
      </c>
      <c r="Z33" s="147" t="s">
        <v>557</v>
      </c>
      <c r="AA33" s="147" t="s">
        <v>11</v>
      </c>
      <c r="AB33" s="147" t="s">
        <v>1189</v>
      </c>
      <c r="AC33" s="147">
        <v>1.0</v>
      </c>
      <c r="AD33" s="147">
        <v>2.0</v>
      </c>
      <c r="AE33" s="147">
        <v>1.0</v>
      </c>
      <c r="AF33" s="147">
        <v>1.0</v>
      </c>
    </row>
    <row r="34" ht="15.75" customHeight="1">
      <c r="A34" s="258">
        <v>195.0</v>
      </c>
      <c r="B34" s="259" t="s">
        <v>66</v>
      </c>
      <c r="C34" s="171" t="s">
        <v>167</v>
      </c>
      <c r="D34" s="158" t="s">
        <v>32</v>
      </c>
      <c r="E34" s="260">
        <v>4493.0</v>
      </c>
      <c r="F34" s="261">
        <v>266.0</v>
      </c>
      <c r="G34" s="261">
        <v>251.0</v>
      </c>
      <c r="H34" s="261">
        <v>0.0</v>
      </c>
      <c r="I34" s="261">
        <v>193.0</v>
      </c>
      <c r="J34" s="261">
        <v>183.0</v>
      </c>
      <c r="K34" s="261">
        <v>78.0</v>
      </c>
      <c r="L34" s="261" t="s">
        <v>71</v>
      </c>
      <c r="M34" s="261">
        <v>28.0</v>
      </c>
      <c r="N34" s="262">
        <v>120.0</v>
      </c>
      <c r="O34" s="263">
        <v>42.0</v>
      </c>
      <c r="P34" s="261">
        <v>0.0</v>
      </c>
      <c r="Q34" s="261">
        <v>12.0</v>
      </c>
      <c r="R34" s="261">
        <v>0.0</v>
      </c>
      <c r="S34" s="261">
        <v>0.0</v>
      </c>
      <c r="T34" s="147" t="s">
        <v>143</v>
      </c>
      <c r="U34" s="173" t="s">
        <v>1190</v>
      </c>
      <c r="V34" s="181" t="s">
        <v>1191</v>
      </c>
      <c r="W34" s="149" t="s">
        <v>551</v>
      </c>
      <c r="X34" s="149" t="s">
        <v>1192</v>
      </c>
      <c r="Y34" s="261" t="s">
        <v>66</v>
      </c>
      <c r="Z34" s="261" t="s">
        <v>557</v>
      </c>
      <c r="AA34" s="261" t="s">
        <v>11</v>
      </c>
      <c r="AB34" s="261" t="s">
        <v>1193</v>
      </c>
      <c r="AC34" s="261">
        <v>1.0</v>
      </c>
      <c r="AD34" s="261">
        <v>2.0</v>
      </c>
      <c r="AE34" s="261">
        <v>1.0</v>
      </c>
      <c r="AF34" s="261">
        <v>1.0</v>
      </c>
    </row>
    <row r="35" ht="15.75" customHeight="1">
      <c r="A35" s="141">
        <v>196.0</v>
      </c>
      <c r="B35" s="142" t="s">
        <v>66</v>
      </c>
      <c r="C35" s="143" t="str">
        <f>HYPERLINK("https://azurlane.koumakan.jp/Myoukou","Myoukou")</f>
        <v>Myoukou</v>
      </c>
      <c r="D35" s="158" t="s">
        <v>36</v>
      </c>
      <c r="E35" s="165">
        <v>5339.0</v>
      </c>
      <c r="F35" s="145">
        <v>199.0</v>
      </c>
      <c r="G35" s="145">
        <v>152.0</v>
      </c>
      <c r="H35" s="145">
        <v>0.0</v>
      </c>
      <c r="I35" s="145">
        <v>198.0</v>
      </c>
      <c r="J35" s="145">
        <v>166.0</v>
      </c>
      <c r="K35" s="145">
        <v>80.0</v>
      </c>
      <c r="L35" s="145" t="s">
        <v>71</v>
      </c>
      <c r="M35" s="145">
        <v>32.0</v>
      </c>
      <c r="N35" s="145">
        <v>128.0</v>
      </c>
      <c r="O35" s="166">
        <v>62.0</v>
      </c>
      <c r="P35" s="145">
        <v>0.0</v>
      </c>
      <c r="Q35" s="145">
        <v>10.0</v>
      </c>
      <c r="R35" s="145">
        <v>0.0</v>
      </c>
      <c r="S35" s="145">
        <v>0.0</v>
      </c>
      <c r="T35" s="147" t="s">
        <v>143</v>
      </c>
      <c r="U35" s="161" t="s">
        <v>1194</v>
      </c>
      <c r="V35" s="149" t="s">
        <v>551</v>
      </c>
      <c r="W35" s="149" t="s">
        <v>551</v>
      </c>
      <c r="X35" s="149" t="s">
        <v>1195</v>
      </c>
      <c r="Y35" s="147" t="s">
        <v>66</v>
      </c>
      <c r="Z35" s="147" t="s">
        <v>557</v>
      </c>
      <c r="AA35" s="147" t="s">
        <v>11</v>
      </c>
      <c r="AB35" s="147" t="s">
        <v>1189</v>
      </c>
      <c r="AC35" s="147">
        <v>1.0</v>
      </c>
      <c r="AD35" s="147">
        <v>2.0</v>
      </c>
      <c r="AE35" s="147">
        <v>1.0</v>
      </c>
      <c r="AF35" s="147">
        <v>1.0</v>
      </c>
    </row>
    <row r="36" ht="15.75" customHeight="1">
      <c r="A36" s="141">
        <v>197.0</v>
      </c>
      <c r="B36" s="142" t="s">
        <v>66</v>
      </c>
      <c r="C36" s="143" t="str">
        <f>HYPERLINK("https://azurlane.koumakan.jp/Nachi","Nachi")</f>
        <v>Nachi</v>
      </c>
      <c r="D36" s="158" t="s">
        <v>36</v>
      </c>
      <c r="E36" s="165">
        <v>5229.0</v>
      </c>
      <c r="F36" s="145">
        <v>199.0</v>
      </c>
      <c r="G36" s="145">
        <v>152.0</v>
      </c>
      <c r="H36" s="145">
        <v>0.0</v>
      </c>
      <c r="I36" s="145">
        <v>198.0</v>
      </c>
      <c r="J36" s="145">
        <v>166.0</v>
      </c>
      <c r="K36" s="145">
        <v>80.0</v>
      </c>
      <c r="L36" s="145" t="s">
        <v>71</v>
      </c>
      <c r="M36" s="145">
        <v>32.0</v>
      </c>
      <c r="N36" s="145">
        <v>128.0</v>
      </c>
      <c r="O36" s="166">
        <v>58.0</v>
      </c>
      <c r="P36" s="145">
        <v>0.0</v>
      </c>
      <c r="Q36" s="145">
        <v>10.0</v>
      </c>
      <c r="R36" s="145">
        <v>0.0</v>
      </c>
      <c r="S36" s="145">
        <v>0.0</v>
      </c>
      <c r="T36" s="147" t="s">
        <v>143</v>
      </c>
      <c r="U36" s="161" t="s">
        <v>1194</v>
      </c>
      <c r="V36" s="149" t="s">
        <v>551</v>
      </c>
      <c r="W36" s="149" t="s">
        <v>551</v>
      </c>
      <c r="X36" s="149" t="s">
        <v>1195</v>
      </c>
      <c r="Y36" s="147" t="s">
        <v>66</v>
      </c>
      <c r="Z36" s="147" t="s">
        <v>557</v>
      </c>
      <c r="AA36" s="147" t="s">
        <v>11</v>
      </c>
      <c r="AB36" s="147" t="s">
        <v>1189</v>
      </c>
      <c r="AC36" s="147">
        <v>1.0</v>
      </c>
      <c r="AD36" s="147">
        <v>2.0</v>
      </c>
      <c r="AE36" s="147">
        <v>1.0</v>
      </c>
      <c r="AF36" s="147">
        <v>1.0</v>
      </c>
    </row>
    <row r="37" ht="15.75" customHeight="1">
      <c r="A37" s="141">
        <v>198.0</v>
      </c>
      <c r="B37" s="142" t="s">
        <v>66</v>
      </c>
      <c r="C37" s="143" t="str">
        <f>HYPERLINK("https://azurlane.koumakan.jp/Ashigara","Ashigara")</f>
        <v>Ashigara</v>
      </c>
      <c r="D37" s="158" t="s">
        <v>28</v>
      </c>
      <c r="E37" s="165">
        <v>4256.0</v>
      </c>
      <c r="F37" s="145">
        <v>237.0</v>
      </c>
      <c r="G37" s="145">
        <v>226.0</v>
      </c>
      <c r="H37" s="145">
        <v>0.0</v>
      </c>
      <c r="I37" s="145">
        <v>174.0</v>
      </c>
      <c r="J37" s="145">
        <v>171.0</v>
      </c>
      <c r="K37" s="145">
        <v>78.0</v>
      </c>
      <c r="L37" s="145" t="s">
        <v>71</v>
      </c>
      <c r="M37" s="145">
        <v>28.0</v>
      </c>
      <c r="N37" s="145">
        <v>128.0</v>
      </c>
      <c r="O37" s="166">
        <v>60.0</v>
      </c>
      <c r="P37" s="145">
        <v>0.0</v>
      </c>
      <c r="Q37" s="145">
        <v>11.0</v>
      </c>
      <c r="R37" s="145">
        <v>0.0</v>
      </c>
      <c r="S37" s="145">
        <v>0.0</v>
      </c>
      <c r="T37" s="147" t="s">
        <v>143</v>
      </c>
      <c r="U37" s="164" t="s">
        <v>1196</v>
      </c>
      <c r="V37" s="149" t="s">
        <v>551</v>
      </c>
      <c r="W37" s="149" t="s">
        <v>551</v>
      </c>
      <c r="X37" s="149" t="s">
        <v>1195</v>
      </c>
      <c r="Y37" s="147" t="s">
        <v>66</v>
      </c>
      <c r="Z37" s="147" t="s">
        <v>557</v>
      </c>
      <c r="AA37" s="147" t="s">
        <v>11</v>
      </c>
      <c r="AB37" s="147" t="s">
        <v>1189</v>
      </c>
      <c r="AC37" s="147">
        <v>1.0</v>
      </c>
      <c r="AD37" s="147">
        <v>2.0</v>
      </c>
      <c r="AE37" s="147">
        <v>1.0</v>
      </c>
      <c r="AF37" s="147">
        <v>1.0</v>
      </c>
    </row>
    <row r="38" ht="15.75" customHeight="1">
      <c r="A38" s="141">
        <v>200.0</v>
      </c>
      <c r="B38" s="142" t="s">
        <v>66</v>
      </c>
      <c r="C38" s="143" t="str">
        <f>HYPERLINK("https://azurlane.koumakan.jp/Takao","Takao")</f>
        <v>Takao</v>
      </c>
      <c r="D38" s="158" t="s">
        <v>32</v>
      </c>
      <c r="E38" s="165">
        <v>4394.0</v>
      </c>
      <c r="F38" s="145">
        <v>274.0</v>
      </c>
      <c r="G38" s="145">
        <v>248.0</v>
      </c>
      <c r="H38" s="145">
        <v>0.0</v>
      </c>
      <c r="I38" s="145">
        <v>182.0</v>
      </c>
      <c r="J38" s="145">
        <v>177.0</v>
      </c>
      <c r="K38" s="145">
        <v>82.0</v>
      </c>
      <c r="L38" s="145" t="s">
        <v>71</v>
      </c>
      <c r="M38" s="145">
        <v>31.0</v>
      </c>
      <c r="N38" s="145">
        <v>137.0</v>
      </c>
      <c r="O38" s="166">
        <v>65.0</v>
      </c>
      <c r="P38" s="145">
        <v>0.0</v>
      </c>
      <c r="Q38" s="145">
        <v>12.0</v>
      </c>
      <c r="R38" s="145">
        <v>0.0</v>
      </c>
      <c r="S38" s="145">
        <v>0.0</v>
      </c>
      <c r="T38" s="147" t="s">
        <v>143</v>
      </c>
      <c r="U38" s="164" t="s">
        <v>1145</v>
      </c>
      <c r="V38" s="164" t="s">
        <v>565</v>
      </c>
      <c r="W38" s="149" t="s">
        <v>551</v>
      </c>
      <c r="X38" s="149" t="s">
        <v>1197</v>
      </c>
      <c r="Y38" s="147" t="s">
        <v>66</v>
      </c>
      <c r="Z38" s="147" t="s">
        <v>557</v>
      </c>
      <c r="AA38" s="147" t="s">
        <v>11</v>
      </c>
      <c r="AB38" s="147" t="s">
        <v>1198</v>
      </c>
      <c r="AC38" s="147">
        <v>1.0</v>
      </c>
      <c r="AD38" s="147">
        <v>2.0</v>
      </c>
      <c r="AE38" s="147">
        <v>1.0</v>
      </c>
      <c r="AF38" s="147">
        <v>1.0</v>
      </c>
    </row>
    <row r="39" ht="15.75" customHeight="1">
      <c r="A39" s="141">
        <v>201.0</v>
      </c>
      <c r="B39" s="142" t="s">
        <v>66</v>
      </c>
      <c r="C39" s="143" t="str">
        <f>HYPERLINK("https://azurlane.koumakan.jp/Atago","Atago")</f>
        <v>Atago</v>
      </c>
      <c r="D39" s="158" t="s">
        <v>32</v>
      </c>
      <c r="E39" s="165">
        <v>4394.0</v>
      </c>
      <c r="F39" s="145">
        <v>274.0</v>
      </c>
      <c r="G39" s="145">
        <v>248.0</v>
      </c>
      <c r="H39" s="145">
        <v>0.0</v>
      </c>
      <c r="I39" s="145">
        <v>182.0</v>
      </c>
      <c r="J39" s="145">
        <v>177.0</v>
      </c>
      <c r="K39" s="145">
        <v>82.0</v>
      </c>
      <c r="L39" s="145" t="s">
        <v>71</v>
      </c>
      <c r="M39" s="145">
        <v>31.0</v>
      </c>
      <c r="N39" s="145">
        <v>137.0</v>
      </c>
      <c r="O39" s="166">
        <v>48.0</v>
      </c>
      <c r="P39" s="145">
        <v>0.0</v>
      </c>
      <c r="Q39" s="145">
        <v>12.0</v>
      </c>
      <c r="R39" s="145">
        <v>0.0</v>
      </c>
      <c r="S39" s="145">
        <v>0.0</v>
      </c>
      <c r="T39" s="147" t="s">
        <v>143</v>
      </c>
      <c r="U39" s="164" t="s">
        <v>1199</v>
      </c>
      <c r="V39" s="164" t="s">
        <v>565</v>
      </c>
      <c r="W39" s="149" t="s">
        <v>551</v>
      </c>
      <c r="X39" s="149" t="s">
        <v>1197</v>
      </c>
      <c r="Y39" s="147" t="s">
        <v>66</v>
      </c>
      <c r="Z39" s="147" t="s">
        <v>557</v>
      </c>
      <c r="AA39" s="147" t="s">
        <v>11</v>
      </c>
      <c r="AB39" s="147" t="s">
        <v>1200</v>
      </c>
      <c r="AC39" s="147">
        <v>1.0</v>
      </c>
      <c r="AD39" s="147">
        <v>2.0</v>
      </c>
      <c r="AE39" s="147">
        <v>1.0</v>
      </c>
      <c r="AF39" s="147">
        <v>1.0</v>
      </c>
    </row>
    <row r="40" ht="15.75" customHeight="1">
      <c r="A40" s="141">
        <v>202.0</v>
      </c>
      <c r="B40" s="142" t="s">
        <v>66</v>
      </c>
      <c r="C40" s="143" t="str">
        <f>HYPERLINK("https://azurlane.koumakan.jp/Maya","Maya")</f>
        <v>Maya</v>
      </c>
      <c r="D40" s="158" t="s">
        <v>32</v>
      </c>
      <c r="E40" s="165">
        <v>4394.0</v>
      </c>
      <c r="F40" s="145">
        <v>274.0</v>
      </c>
      <c r="G40" s="145">
        <v>248.0</v>
      </c>
      <c r="H40" s="145">
        <v>0.0</v>
      </c>
      <c r="I40" s="145">
        <v>182.0</v>
      </c>
      <c r="J40" s="145">
        <v>177.0</v>
      </c>
      <c r="K40" s="145">
        <v>82.0</v>
      </c>
      <c r="L40" s="145" t="s">
        <v>71</v>
      </c>
      <c r="M40" s="145">
        <v>31.0</v>
      </c>
      <c r="N40" s="145">
        <v>137.0</v>
      </c>
      <c r="O40" s="166">
        <v>48.0</v>
      </c>
      <c r="P40" s="145">
        <v>0.0</v>
      </c>
      <c r="Q40" s="145">
        <v>12.0</v>
      </c>
      <c r="R40" s="145">
        <v>0.0</v>
      </c>
      <c r="S40" s="145">
        <v>0.0</v>
      </c>
      <c r="T40" s="147" t="s">
        <v>143</v>
      </c>
      <c r="U40" s="164" t="s">
        <v>1201</v>
      </c>
      <c r="V40" s="149" t="s">
        <v>551</v>
      </c>
      <c r="W40" s="149" t="s">
        <v>551</v>
      </c>
      <c r="X40" s="149" t="s">
        <v>1197</v>
      </c>
      <c r="Y40" s="147" t="s">
        <v>66</v>
      </c>
      <c r="Z40" s="147" t="s">
        <v>557</v>
      </c>
      <c r="AA40" s="147" t="s">
        <v>11</v>
      </c>
      <c r="AB40" s="147" t="s">
        <v>1202</v>
      </c>
      <c r="AC40" s="147">
        <v>1.0</v>
      </c>
      <c r="AD40" s="147">
        <v>2.0</v>
      </c>
      <c r="AE40" s="147">
        <v>1.0</v>
      </c>
      <c r="AF40" s="147">
        <v>1.0</v>
      </c>
    </row>
    <row r="41" ht="15.75" customHeight="1">
      <c r="A41" s="141">
        <v>203.0</v>
      </c>
      <c r="B41" s="142" t="s">
        <v>66</v>
      </c>
      <c r="C41" s="143" t="str">
        <f>HYPERLINK("https://azurlane.koumakan.jp/Choukai","Choukai")</f>
        <v>Choukai</v>
      </c>
      <c r="D41" s="158" t="s">
        <v>32</v>
      </c>
      <c r="E41" s="165">
        <v>4394.0</v>
      </c>
      <c r="F41" s="145">
        <v>265.0</v>
      </c>
      <c r="G41" s="145">
        <v>224.0</v>
      </c>
      <c r="H41" s="145">
        <v>0.0</v>
      </c>
      <c r="I41" s="145">
        <v>182.0</v>
      </c>
      <c r="J41" s="145">
        <v>177.0</v>
      </c>
      <c r="K41" s="145">
        <v>82.0</v>
      </c>
      <c r="L41" s="145" t="s">
        <v>71</v>
      </c>
      <c r="M41" s="145">
        <v>31.0</v>
      </c>
      <c r="N41" s="145">
        <v>137.0</v>
      </c>
      <c r="O41" s="166">
        <v>50.0</v>
      </c>
      <c r="P41" s="145">
        <v>0.0</v>
      </c>
      <c r="Q41" s="145">
        <v>12.0</v>
      </c>
      <c r="R41" s="145">
        <v>0.0</v>
      </c>
      <c r="S41" s="145">
        <v>0.0</v>
      </c>
      <c r="T41" s="147" t="s">
        <v>143</v>
      </c>
      <c r="U41" s="148" t="s">
        <v>1203</v>
      </c>
      <c r="V41" s="164" t="s">
        <v>1145</v>
      </c>
      <c r="W41" s="149" t="s">
        <v>551</v>
      </c>
      <c r="X41" s="149" t="s">
        <v>1197</v>
      </c>
      <c r="Y41" s="147" t="s">
        <v>66</v>
      </c>
      <c r="Z41" s="147" t="s">
        <v>557</v>
      </c>
      <c r="AA41" s="147" t="s">
        <v>11</v>
      </c>
      <c r="AB41" s="147" t="s">
        <v>1204</v>
      </c>
      <c r="AC41" s="147">
        <v>1.0</v>
      </c>
      <c r="AD41" s="147">
        <v>2.0</v>
      </c>
      <c r="AE41" s="147">
        <v>1.0</v>
      </c>
      <c r="AF41" s="147">
        <v>1.0</v>
      </c>
    </row>
    <row r="42" ht="15.75" customHeight="1">
      <c r="A42" s="141">
        <v>242.0</v>
      </c>
      <c r="B42" s="142" t="s">
        <v>66</v>
      </c>
      <c r="C42" s="143" t="str">
        <f>HYPERLINK("https://azurlane.koumakan.jp/Admiral_Hipper","Admiral Hipper")</f>
        <v>Admiral Hipper</v>
      </c>
      <c r="D42" s="158" t="s">
        <v>28</v>
      </c>
      <c r="E42" s="165">
        <v>5083.0</v>
      </c>
      <c r="F42" s="145">
        <v>254.0</v>
      </c>
      <c r="G42" s="145">
        <v>193.0</v>
      </c>
      <c r="H42" s="145">
        <v>0.0</v>
      </c>
      <c r="I42" s="145">
        <v>193.0</v>
      </c>
      <c r="J42" s="145">
        <v>178.0</v>
      </c>
      <c r="K42" s="145">
        <v>64.0</v>
      </c>
      <c r="L42" s="145" t="s">
        <v>71</v>
      </c>
      <c r="M42" s="145">
        <v>25.0</v>
      </c>
      <c r="N42" s="145">
        <v>131.0</v>
      </c>
      <c r="O42" s="166">
        <v>66.0</v>
      </c>
      <c r="P42" s="145">
        <v>0.0</v>
      </c>
      <c r="Q42" s="145">
        <v>11.0</v>
      </c>
      <c r="R42" s="145">
        <v>0.0</v>
      </c>
      <c r="S42" s="145">
        <v>0.0</v>
      </c>
      <c r="T42" s="147" t="s">
        <v>193</v>
      </c>
      <c r="U42" s="161" t="s">
        <v>1205</v>
      </c>
      <c r="V42" s="161" t="s">
        <v>1153</v>
      </c>
      <c r="W42" s="149" t="s">
        <v>551</v>
      </c>
      <c r="X42" s="149" t="s">
        <v>1206</v>
      </c>
      <c r="Y42" s="147" t="s">
        <v>66</v>
      </c>
      <c r="Z42" s="147" t="s">
        <v>557</v>
      </c>
      <c r="AA42" s="147" t="s">
        <v>11</v>
      </c>
      <c r="AB42" s="147" t="s">
        <v>1207</v>
      </c>
      <c r="AC42" s="147">
        <v>1.0</v>
      </c>
      <c r="AD42" s="147">
        <v>2.0</v>
      </c>
      <c r="AE42" s="147">
        <v>1.0</v>
      </c>
      <c r="AF42" s="147">
        <v>1.0</v>
      </c>
    </row>
    <row r="43" ht="15.75" customHeight="1">
      <c r="A43" s="141">
        <v>244.0</v>
      </c>
      <c r="B43" s="142" t="s">
        <v>66</v>
      </c>
      <c r="C43" s="143" t="str">
        <f>HYPERLINK("https://azurlane.koumakan.jp/Prinz_Eugen","Prinz Eugen")</f>
        <v>Prinz Eugen</v>
      </c>
      <c r="D43" s="158" t="s">
        <v>32</v>
      </c>
      <c r="E43" s="165">
        <v>6394.0</v>
      </c>
      <c r="F43" s="145">
        <v>230.0</v>
      </c>
      <c r="G43" s="145">
        <v>155.0</v>
      </c>
      <c r="H43" s="145">
        <v>0.0</v>
      </c>
      <c r="I43" s="145">
        <v>209.0</v>
      </c>
      <c r="J43" s="145">
        <v>185.0</v>
      </c>
      <c r="K43" s="145">
        <v>64.0</v>
      </c>
      <c r="L43" s="145" t="s">
        <v>71</v>
      </c>
      <c r="M43" s="145">
        <v>25.0</v>
      </c>
      <c r="N43" s="145">
        <v>131.0</v>
      </c>
      <c r="O43" s="166">
        <v>78.0</v>
      </c>
      <c r="P43" s="145">
        <v>0.0</v>
      </c>
      <c r="Q43" s="145">
        <v>12.0</v>
      </c>
      <c r="R43" s="145">
        <v>0.0</v>
      </c>
      <c r="S43" s="145">
        <v>0.0</v>
      </c>
      <c r="T43" s="147" t="s">
        <v>193</v>
      </c>
      <c r="U43" s="161" t="s">
        <v>1208</v>
      </c>
      <c r="V43" s="149" t="s">
        <v>551</v>
      </c>
      <c r="W43" s="149" t="s">
        <v>551</v>
      </c>
      <c r="X43" s="149" t="s">
        <v>1206</v>
      </c>
      <c r="Y43" s="147" t="s">
        <v>66</v>
      </c>
      <c r="Z43" s="147" t="s">
        <v>557</v>
      </c>
      <c r="AA43" s="147" t="s">
        <v>11</v>
      </c>
      <c r="AB43" s="147" t="s">
        <v>1173</v>
      </c>
      <c r="AC43" s="147">
        <v>1.0</v>
      </c>
      <c r="AD43" s="147">
        <v>2.0</v>
      </c>
      <c r="AE43" s="147">
        <v>1.0</v>
      </c>
      <c r="AF43" s="147">
        <v>1.0</v>
      </c>
    </row>
    <row r="44" ht="15.75" customHeight="1">
      <c r="A44" s="141">
        <v>245.0</v>
      </c>
      <c r="B44" s="142" t="s">
        <v>66</v>
      </c>
      <c r="C44" s="143" t="str">
        <f>HYPERLINK("https://azurlane.koumakan.jp/Deutschland","Deutchland")</f>
        <v>Deutchland</v>
      </c>
      <c r="D44" s="158" t="s">
        <v>28</v>
      </c>
      <c r="E44" s="165">
        <v>4111.0</v>
      </c>
      <c r="F44" s="145">
        <v>305.0</v>
      </c>
      <c r="G44" s="145">
        <v>223.0</v>
      </c>
      <c r="H44" s="145">
        <v>0.0</v>
      </c>
      <c r="I44" s="145">
        <v>157.0</v>
      </c>
      <c r="J44" s="145">
        <v>178.0</v>
      </c>
      <c r="K44" s="145">
        <v>55.0</v>
      </c>
      <c r="L44" s="145" t="s">
        <v>71</v>
      </c>
      <c r="M44" s="145">
        <v>22.0</v>
      </c>
      <c r="N44" s="145">
        <v>135.0</v>
      </c>
      <c r="O44" s="166">
        <v>72.0</v>
      </c>
      <c r="P44" s="145">
        <v>0.0</v>
      </c>
      <c r="Q44" s="145">
        <v>11.0</v>
      </c>
      <c r="R44" s="145">
        <v>0.0</v>
      </c>
      <c r="S44" s="145">
        <v>0.0</v>
      </c>
      <c r="T44" s="147" t="s">
        <v>193</v>
      </c>
      <c r="U44" s="164" t="s">
        <v>1209</v>
      </c>
      <c r="V44" s="149" t="s">
        <v>551</v>
      </c>
      <c r="W44" s="149" t="s">
        <v>551</v>
      </c>
      <c r="X44" s="149" t="s">
        <v>1210</v>
      </c>
      <c r="Y44" s="147" t="s">
        <v>66</v>
      </c>
      <c r="Z44" s="147" t="s">
        <v>557</v>
      </c>
      <c r="AA44" s="147" t="s">
        <v>11</v>
      </c>
      <c r="AB44" s="147" t="s">
        <v>1211</v>
      </c>
      <c r="AC44" s="147">
        <v>1.0</v>
      </c>
      <c r="AD44" s="147">
        <v>2.0</v>
      </c>
      <c r="AE44" s="147">
        <v>1.0</v>
      </c>
      <c r="AF44" s="147">
        <v>1.0</v>
      </c>
    </row>
    <row r="45" ht="15.75" customHeight="1">
      <c r="A45" s="141">
        <v>246.0</v>
      </c>
      <c r="B45" s="142" t="s">
        <v>66</v>
      </c>
      <c r="C45" s="143" t="str">
        <f>HYPERLINK("https://azurlane.koumakan.jp/Admiral_Graf.Spee","Adm. Graf Spee")</f>
        <v>Adm. Graf Spee</v>
      </c>
      <c r="D45" s="158" t="s">
        <v>28</v>
      </c>
      <c r="E45" s="165">
        <v>4462.0</v>
      </c>
      <c r="F45" s="145">
        <v>301.0</v>
      </c>
      <c r="G45" s="145">
        <v>219.0</v>
      </c>
      <c r="H45" s="145">
        <v>0.0</v>
      </c>
      <c r="I45" s="145">
        <v>157.0</v>
      </c>
      <c r="J45" s="145">
        <v>177.0</v>
      </c>
      <c r="K45" s="145">
        <v>56.0</v>
      </c>
      <c r="L45" s="145" t="s">
        <v>71</v>
      </c>
      <c r="M45" s="145">
        <v>22.0</v>
      </c>
      <c r="N45" s="145">
        <v>129.0</v>
      </c>
      <c r="O45" s="166">
        <v>36.0</v>
      </c>
      <c r="P45" s="145">
        <v>0.0</v>
      </c>
      <c r="Q45" s="145">
        <v>11.0</v>
      </c>
      <c r="R45" s="145">
        <v>0.0</v>
      </c>
      <c r="S45" s="145">
        <v>0.0</v>
      </c>
      <c r="T45" s="147" t="s">
        <v>193</v>
      </c>
      <c r="U45" s="164" t="s">
        <v>1209</v>
      </c>
      <c r="V45" s="149" t="s">
        <v>551</v>
      </c>
      <c r="W45" s="149" t="s">
        <v>551</v>
      </c>
      <c r="X45" s="149" t="s">
        <v>1210</v>
      </c>
      <c r="Y45" s="147" t="s">
        <v>66</v>
      </c>
      <c r="Z45" s="147" t="s">
        <v>557</v>
      </c>
      <c r="AA45" s="147" t="s">
        <v>11</v>
      </c>
      <c r="AB45" s="147" t="s">
        <v>1211</v>
      </c>
      <c r="AC45" s="147">
        <v>1.0</v>
      </c>
      <c r="AD45" s="147">
        <v>2.0</v>
      </c>
      <c r="AE45" s="147">
        <v>1.0</v>
      </c>
      <c r="AF45" s="147">
        <v>1.0</v>
      </c>
    </row>
    <row r="46" ht="15.75" customHeight="1">
      <c r="A46" s="141">
        <v>337.0</v>
      </c>
      <c r="B46" s="142" t="s">
        <v>66</v>
      </c>
      <c r="C46" s="143" t="str">
        <f>HYPERLINK("https://azurlane.koumakan.jp/Sussex","Sussex")</f>
        <v>Sussex</v>
      </c>
      <c r="D46" s="158" t="s">
        <v>36</v>
      </c>
      <c r="E46" s="165">
        <v>3542.0</v>
      </c>
      <c r="F46" s="145">
        <v>205.0</v>
      </c>
      <c r="G46" s="145">
        <v>218.0</v>
      </c>
      <c r="H46" s="145">
        <v>0.0</v>
      </c>
      <c r="I46" s="145">
        <v>261.0</v>
      </c>
      <c r="J46" s="145">
        <v>162.0</v>
      </c>
      <c r="K46" s="145">
        <v>74.0</v>
      </c>
      <c r="L46" s="145" t="s">
        <v>29</v>
      </c>
      <c r="M46" s="145">
        <v>25.0</v>
      </c>
      <c r="N46" s="145">
        <v>120.0</v>
      </c>
      <c r="O46" s="166">
        <v>68.0</v>
      </c>
      <c r="P46" s="145">
        <v>0.0</v>
      </c>
      <c r="Q46" s="145">
        <v>10.0</v>
      </c>
      <c r="R46" s="145">
        <v>0.0</v>
      </c>
      <c r="S46" s="145">
        <v>0.0</v>
      </c>
      <c r="T46" s="147" t="s">
        <v>104</v>
      </c>
      <c r="U46" s="164" t="s">
        <v>1158</v>
      </c>
      <c r="V46" s="149" t="s">
        <v>551</v>
      </c>
      <c r="W46" s="149" t="s">
        <v>551</v>
      </c>
      <c r="X46" s="149" t="s">
        <v>1165</v>
      </c>
      <c r="Y46" s="147" t="s">
        <v>66</v>
      </c>
      <c r="Z46" s="147" t="s">
        <v>557</v>
      </c>
      <c r="AA46" s="147" t="s">
        <v>11</v>
      </c>
      <c r="AB46" s="147" t="s">
        <v>1166</v>
      </c>
      <c r="AC46" s="147">
        <v>1.0</v>
      </c>
      <c r="AD46" s="147">
        <v>2.0</v>
      </c>
      <c r="AE46" s="147">
        <v>1.0</v>
      </c>
      <c r="AF46" s="147">
        <v>1.0</v>
      </c>
    </row>
    <row r="47" ht="15.75" customHeight="1">
      <c r="A47" s="141">
        <v>364.0</v>
      </c>
      <c r="B47" s="142" t="s">
        <v>66</v>
      </c>
      <c r="C47" s="143" t="str">
        <f>HYPERLINK("https://azurlane.koumakan.jp/Minneapolis","Minneapolis")</f>
        <v>Minneapolis</v>
      </c>
      <c r="D47" s="158" t="s">
        <v>32</v>
      </c>
      <c r="E47" s="165">
        <v>4248.0</v>
      </c>
      <c r="F47" s="145">
        <v>262.0</v>
      </c>
      <c r="G47" s="145">
        <v>0.0</v>
      </c>
      <c r="H47" s="145">
        <v>0.0</v>
      </c>
      <c r="I47" s="145">
        <v>253.0</v>
      </c>
      <c r="J47" s="145">
        <v>185.0</v>
      </c>
      <c r="K47" s="145">
        <v>59.0</v>
      </c>
      <c r="L47" s="145" t="s">
        <v>71</v>
      </c>
      <c r="M47" s="145">
        <v>26.0</v>
      </c>
      <c r="N47" s="145">
        <v>131.0</v>
      </c>
      <c r="O47" s="166">
        <v>76.0</v>
      </c>
      <c r="P47" s="145">
        <v>0.0</v>
      </c>
      <c r="Q47" s="145">
        <v>12.0</v>
      </c>
      <c r="R47" s="145">
        <v>0.0</v>
      </c>
      <c r="S47" s="145">
        <v>0.0</v>
      </c>
      <c r="T47" s="147" t="s">
        <v>37</v>
      </c>
      <c r="U47" s="164" t="s">
        <v>1212</v>
      </c>
      <c r="V47" s="161" t="s">
        <v>1213</v>
      </c>
      <c r="W47" s="149" t="s">
        <v>551</v>
      </c>
      <c r="X47" s="149" t="s">
        <v>1156</v>
      </c>
      <c r="Y47" s="147" t="s">
        <v>66</v>
      </c>
      <c r="Z47" s="147" t="s">
        <v>27</v>
      </c>
      <c r="AA47" s="147" t="s">
        <v>11</v>
      </c>
      <c r="AB47" s="147" t="s">
        <v>1214</v>
      </c>
      <c r="AC47" s="147">
        <v>2.0</v>
      </c>
      <c r="AD47" s="147">
        <v>0.0</v>
      </c>
      <c r="AE47" s="147">
        <v>0.0</v>
      </c>
      <c r="AF47" s="147">
        <v>1.0</v>
      </c>
    </row>
    <row r="48" ht="15.75" customHeight="1">
      <c r="A48" s="156">
        <v>382.0</v>
      </c>
      <c r="B48" s="149" t="s">
        <v>66</v>
      </c>
      <c r="C48" s="157" t="str">
        <f>HYPERLINK("https://azurlane.koumakan.jp/Suzuya","Suzuya")</f>
        <v>Suzuya</v>
      </c>
      <c r="D48" s="158" t="s">
        <v>28</v>
      </c>
      <c r="E48" s="165">
        <v>4273.0</v>
      </c>
      <c r="F48" s="145">
        <v>240.0</v>
      </c>
      <c r="G48" s="145">
        <v>215.0</v>
      </c>
      <c r="H48" s="145">
        <v>0.0</v>
      </c>
      <c r="I48" s="145">
        <v>213.0</v>
      </c>
      <c r="J48" s="145">
        <v>182.0</v>
      </c>
      <c r="K48" s="145">
        <v>83.0</v>
      </c>
      <c r="L48" s="145" t="s">
        <v>71</v>
      </c>
      <c r="M48" s="145">
        <v>28.0</v>
      </c>
      <c r="N48" s="145">
        <v>132.0</v>
      </c>
      <c r="O48" s="166">
        <v>15.0</v>
      </c>
      <c r="P48" s="145">
        <v>0.0</v>
      </c>
      <c r="Q48" s="145">
        <v>11.0</v>
      </c>
      <c r="R48" s="145">
        <v>0.0</v>
      </c>
      <c r="S48" s="145">
        <v>0.0</v>
      </c>
      <c r="T48" s="147" t="s">
        <v>143</v>
      </c>
      <c r="U48" s="164" t="s">
        <v>1215</v>
      </c>
      <c r="V48" s="161" t="s">
        <v>949</v>
      </c>
      <c r="W48" s="149" t="s">
        <v>551</v>
      </c>
      <c r="X48" s="149" t="s">
        <v>1216</v>
      </c>
      <c r="Y48" s="147" t="s">
        <v>1217</v>
      </c>
      <c r="Z48" s="147" t="s">
        <v>557</v>
      </c>
      <c r="AA48" s="147" t="s">
        <v>11</v>
      </c>
      <c r="AB48" s="147" t="s">
        <v>1218</v>
      </c>
      <c r="AC48" s="147">
        <v>1.0</v>
      </c>
      <c r="AD48" s="147">
        <v>2.0</v>
      </c>
      <c r="AE48" s="147">
        <v>1.0</v>
      </c>
      <c r="AF48" s="147">
        <v>1.0</v>
      </c>
    </row>
    <row r="49" ht="15.75" customHeight="1">
      <c r="A49" s="182">
        <v>413.0</v>
      </c>
      <c r="B49" s="183" t="s">
        <v>66</v>
      </c>
      <c r="C49" s="197" t="str">
        <f>HYPERLINK("https://azurlane.koumakan.jp/Zara","Zara")</f>
        <v>Zara</v>
      </c>
      <c r="D49" s="170" t="s">
        <v>32</v>
      </c>
      <c r="E49" s="191">
        <v>5056.0</v>
      </c>
      <c r="F49" s="170">
        <v>256.0</v>
      </c>
      <c r="G49" s="170">
        <v>0.0</v>
      </c>
      <c r="H49" s="170">
        <v>0.0</v>
      </c>
      <c r="I49" s="170">
        <v>234.0</v>
      </c>
      <c r="J49" s="170">
        <v>185.0</v>
      </c>
      <c r="K49" s="170">
        <v>59.0</v>
      </c>
      <c r="L49" s="170" t="s">
        <v>71</v>
      </c>
      <c r="M49" s="170">
        <v>26.0</v>
      </c>
      <c r="N49" s="170">
        <v>121.0</v>
      </c>
      <c r="O49" s="192">
        <v>75.0</v>
      </c>
      <c r="P49" s="170">
        <v>0.0</v>
      </c>
      <c r="Q49" s="170">
        <v>12.0</v>
      </c>
      <c r="R49" s="170">
        <v>0.0</v>
      </c>
      <c r="S49" s="170">
        <v>0.0</v>
      </c>
      <c r="T49" s="170" t="s">
        <v>269</v>
      </c>
      <c r="U49" s="190" t="s">
        <v>1219</v>
      </c>
      <c r="V49" s="188" t="s">
        <v>1220</v>
      </c>
      <c r="W49" s="149" t="s">
        <v>551</v>
      </c>
      <c r="X49" s="149" t="s">
        <v>1221</v>
      </c>
      <c r="Y49" s="147" t="s">
        <v>66</v>
      </c>
      <c r="Z49" s="147" t="s">
        <v>27</v>
      </c>
      <c r="AA49" s="147" t="s">
        <v>11</v>
      </c>
      <c r="AB49" s="147" t="s">
        <v>1222</v>
      </c>
      <c r="AC49" s="147">
        <v>2.0</v>
      </c>
      <c r="AD49" s="147">
        <v>0.0</v>
      </c>
      <c r="AE49" s="147">
        <v>0.0</v>
      </c>
      <c r="AF49" s="147">
        <v>1.0</v>
      </c>
    </row>
    <row r="50">
      <c r="A50" s="182">
        <v>414.0</v>
      </c>
      <c r="B50" s="183" t="s">
        <v>66</v>
      </c>
      <c r="C50" s="152" t="str">
        <f>HYPERLINK("https://azurlane.koumakan.jp/Trento","Trento")</f>
        <v>Trento</v>
      </c>
      <c r="D50" s="170" t="s">
        <v>36</v>
      </c>
      <c r="E50" s="191">
        <v>3626.0</v>
      </c>
      <c r="F50" s="170">
        <v>235.0</v>
      </c>
      <c r="G50" s="170">
        <v>186.0</v>
      </c>
      <c r="H50" s="170">
        <v>0.0</v>
      </c>
      <c r="I50" s="170">
        <v>190.0</v>
      </c>
      <c r="J50" s="170">
        <v>162.0</v>
      </c>
      <c r="K50" s="170">
        <v>73.0</v>
      </c>
      <c r="L50" s="170" t="s">
        <v>29</v>
      </c>
      <c r="M50" s="170">
        <v>28.0</v>
      </c>
      <c r="N50" s="170">
        <v>121.0</v>
      </c>
      <c r="O50" s="192">
        <v>42.0</v>
      </c>
      <c r="P50" s="170">
        <v>0.0</v>
      </c>
      <c r="Q50" s="170">
        <v>10.0</v>
      </c>
      <c r="R50" s="170">
        <v>0.0</v>
      </c>
      <c r="S50" s="170">
        <v>0.0</v>
      </c>
      <c r="T50" s="170" t="s">
        <v>269</v>
      </c>
      <c r="U50" s="164" t="s">
        <v>575</v>
      </c>
      <c r="V50" s="149" t="s">
        <v>551</v>
      </c>
      <c r="W50" s="159" t="s">
        <v>551</v>
      </c>
      <c r="X50" s="149" t="s">
        <v>1223</v>
      </c>
      <c r="Y50" s="147" t="s">
        <v>66</v>
      </c>
      <c r="Z50" s="147" t="s">
        <v>557</v>
      </c>
      <c r="AA50" s="147" t="s">
        <v>11</v>
      </c>
      <c r="AB50" s="147" t="s">
        <v>1189</v>
      </c>
      <c r="AC50" s="147">
        <v>1.0</v>
      </c>
      <c r="AD50" s="147">
        <v>2.0</v>
      </c>
      <c r="AE50" s="147">
        <v>1.0</v>
      </c>
      <c r="AF50" s="147">
        <v>1.0</v>
      </c>
    </row>
    <row r="51">
      <c r="A51" s="182">
        <v>422.0</v>
      </c>
      <c r="B51" s="183" t="s">
        <v>66</v>
      </c>
      <c r="C51" s="264" t="s">
        <v>280</v>
      </c>
      <c r="D51" s="170" t="s">
        <v>28</v>
      </c>
      <c r="E51" s="191">
        <v>4956.0</v>
      </c>
      <c r="F51" s="170">
        <v>254.0</v>
      </c>
      <c r="G51" s="170">
        <v>188.0</v>
      </c>
      <c r="H51" s="170">
        <v>0.0</v>
      </c>
      <c r="I51" s="170">
        <v>193.0</v>
      </c>
      <c r="J51" s="170">
        <v>178.0</v>
      </c>
      <c r="K51" s="170">
        <v>64.0</v>
      </c>
      <c r="L51" s="170" t="s">
        <v>71</v>
      </c>
      <c r="M51" s="170">
        <v>25.0</v>
      </c>
      <c r="N51" s="170">
        <v>131.0</v>
      </c>
      <c r="O51" s="192">
        <v>66.0</v>
      </c>
      <c r="P51" s="170">
        <v>0.0</v>
      </c>
      <c r="Q51" s="170">
        <v>11.0</v>
      </c>
      <c r="R51" s="170">
        <v>0.0</v>
      </c>
      <c r="S51" s="170">
        <v>0.0</v>
      </c>
      <c r="T51" s="170" t="s">
        <v>193</v>
      </c>
      <c r="U51" s="173" t="s">
        <v>1224</v>
      </c>
      <c r="V51" s="181" t="s">
        <v>1225</v>
      </c>
      <c r="W51" s="195" t="s">
        <v>551</v>
      </c>
      <c r="X51" s="153" t="s">
        <v>1226</v>
      </c>
      <c r="Y51" s="153" t="s">
        <v>66</v>
      </c>
      <c r="Z51" s="153" t="s">
        <v>557</v>
      </c>
      <c r="AA51" s="153" t="s">
        <v>11</v>
      </c>
      <c r="AB51" s="153" t="s">
        <v>1207</v>
      </c>
      <c r="AC51" s="153">
        <v>1.0</v>
      </c>
      <c r="AD51" s="153">
        <v>2.0</v>
      </c>
      <c r="AE51" s="153">
        <v>1.0</v>
      </c>
      <c r="AF51" s="153">
        <v>1.0</v>
      </c>
    </row>
    <row r="52">
      <c r="A52" s="258">
        <v>443.0</v>
      </c>
      <c r="B52" s="265" t="s">
        <v>66</v>
      </c>
      <c r="C52" s="197" t="str">
        <f>HYPERLINK("https://azurlane.koumakan.jp/Bremerton","Bremerton")</f>
        <v>Bremerton</v>
      </c>
      <c r="D52" s="144" t="s">
        <v>32</v>
      </c>
      <c r="E52" s="260">
        <v>4939.0</v>
      </c>
      <c r="F52" s="260">
        <v>271.0</v>
      </c>
      <c r="G52" s="260">
        <v>0.0</v>
      </c>
      <c r="H52" s="260">
        <v>0.0</v>
      </c>
      <c r="I52" s="260">
        <v>272.0</v>
      </c>
      <c r="J52" s="260">
        <v>186.0</v>
      </c>
      <c r="K52" s="260">
        <v>59.0</v>
      </c>
      <c r="L52" s="260" t="s">
        <v>71</v>
      </c>
      <c r="M52" s="260">
        <v>26.0</v>
      </c>
      <c r="N52" s="248">
        <v>139.0</v>
      </c>
      <c r="O52" s="248">
        <v>55.0</v>
      </c>
      <c r="P52" s="260">
        <v>0.0</v>
      </c>
      <c r="Q52" s="160">
        <v>12.0</v>
      </c>
      <c r="R52" s="260">
        <v>0.0</v>
      </c>
      <c r="S52" s="260">
        <v>0.0</v>
      </c>
      <c r="T52" s="147" t="s">
        <v>37</v>
      </c>
      <c r="U52" s="173" t="s">
        <v>1227</v>
      </c>
      <c r="V52" s="181" t="s">
        <v>1228</v>
      </c>
      <c r="W52" s="191" t="s">
        <v>551</v>
      </c>
      <c r="X52" s="149" t="s">
        <v>1163</v>
      </c>
      <c r="Y52" s="261" t="s">
        <v>66</v>
      </c>
      <c r="Z52" s="261" t="s">
        <v>27</v>
      </c>
      <c r="AA52" s="261" t="s">
        <v>11</v>
      </c>
      <c r="AB52" s="261" t="s">
        <v>1229</v>
      </c>
      <c r="AC52" s="261">
        <v>2.0</v>
      </c>
      <c r="AD52" s="261">
        <v>0.0</v>
      </c>
      <c r="AE52" s="261">
        <v>0.0</v>
      </c>
      <c r="AF52" s="261">
        <v>1.0</v>
      </c>
    </row>
    <row r="53">
      <c r="A53" s="258">
        <v>455.0</v>
      </c>
      <c r="B53" s="265" t="s">
        <v>66</v>
      </c>
      <c r="C53" s="189" t="s">
        <v>304</v>
      </c>
      <c r="D53" s="144" t="s">
        <v>32</v>
      </c>
      <c r="E53" s="260">
        <v>5136.0</v>
      </c>
      <c r="F53" s="260">
        <v>283.0</v>
      </c>
      <c r="G53" s="260">
        <v>226.0</v>
      </c>
      <c r="H53" s="260">
        <v>0.0</v>
      </c>
      <c r="I53" s="260">
        <v>249.0</v>
      </c>
      <c r="J53" s="260">
        <v>197.0</v>
      </c>
      <c r="K53" s="260">
        <v>69.0</v>
      </c>
      <c r="L53" s="260" t="s">
        <v>71</v>
      </c>
      <c r="M53" s="260">
        <v>24.0</v>
      </c>
      <c r="N53" s="248">
        <v>141.0</v>
      </c>
      <c r="O53" s="248">
        <v>50.0</v>
      </c>
      <c r="P53" s="260">
        <v>0.0</v>
      </c>
      <c r="Q53" s="260">
        <v>12.0</v>
      </c>
      <c r="R53" s="260">
        <v>0.0</v>
      </c>
      <c r="S53" s="260">
        <v>0.0</v>
      </c>
      <c r="T53" s="160" t="s">
        <v>247</v>
      </c>
      <c r="U53" s="164" t="s">
        <v>1230</v>
      </c>
      <c r="V53" s="161" t="s">
        <v>1231</v>
      </c>
      <c r="W53" s="162" t="s">
        <v>551</v>
      </c>
      <c r="X53" s="149" t="s">
        <v>1232</v>
      </c>
      <c r="Y53" s="261" t="s">
        <v>66</v>
      </c>
      <c r="Z53" s="261" t="s">
        <v>557</v>
      </c>
      <c r="AA53" s="261" t="s">
        <v>11</v>
      </c>
      <c r="AB53" s="261" t="s">
        <v>1198</v>
      </c>
      <c r="AC53" s="261">
        <v>1.0</v>
      </c>
      <c r="AD53" s="261">
        <v>2.0</v>
      </c>
      <c r="AE53" s="261">
        <v>1.0</v>
      </c>
      <c r="AF53" s="261">
        <v>1.0</v>
      </c>
    </row>
    <row r="54">
      <c r="A54" s="258">
        <v>469.0</v>
      </c>
      <c r="B54" s="265" t="s">
        <v>66</v>
      </c>
      <c r="C54" s="197" t="s">
        <v>324</v>
      </c>
      <c r="D54" s="144" t="s">
        <v>28</v>
      </c>
      <c r="E54" s="260">
        <v>4236.0</v>
      </c>
      <c r="F54" s="260">
        <v>240.0</v>
      </c>
      <c r="G54" s="260">
        <v>215.0</v>
      </c>
      <c r="H54" s="260">
        <v>0.0</v>
      </c>
      <c r="I54" s="260">
        <v>219.0</v>
      </c>
      <c r="J54" s="260">
        <v>188.0</v>
      </c>
      <c r="K54" s="260">
        <v>85.0</v>
      </c>
      <c r="L54" s="260" t="s">
        <v>71</v>
      </c>
      <c r="M54" s="260">
        <v>27.0</v>
      </c>
      <c r="N54" s="248">
        <v>132.0</v>
      </c>
      <c r="O54" s="248">
        <v>10.0</v>
      </c>
      <c r="P54" s="260">
        <v>0.0</v>
      </c>
      <c r="Q54" s="260">
        <v>11.0</v>
      </c>
      <c r="R54" s="260">
        <v>0.0</v>
      </c>
      <c r="S54" s="260">
        <v>0.0</v>
      </c>
      <c r="T54" s="160" t="s">
        <v>143</v>
      </c>
      <c r="U54" s="181" t="s">
        <v>1233</v>
      </c>
      <c r="V54" s="161" t="s">
        <v>949</v>
      </c>
      <c r="W54" s="170" t="s">
        <v>551</v>
      </c>
      <c r="X54" s="170" t="s">
        <v>1216</v>
      </c>
      <c r="Y54" s="170" t="s">
        <v>1217</v>
      </c>
      <c r="Z54" s="170" t="s">
        <v>557</v>
      </c>
      <c r="AA54" s="170" t="s">
        <v>11</v>
      </c>
      <c r="AB54" s="170" t="s">
        <v>1218</v>
      </c>
      <c r="AC54" s="170">
        <v>1.0</v>
      </c>
      <c r="AD54" s="170">
        <v>2.0</v>
      </c>
      <c r="AE54" s="170">
        <v>1.0</v>
      </c>
      <c r="AF54" s="170">
        <v>1.0</v>
      </c>
    </row>
    <row r="55">
      <c r="A55" s="258">
        <v>478.0</v>
      </c>
      <c r="B55" s="265" t="s">
        <v>66</v>
      </c>
      <c r="C55" s="197" t="s">
        <v>336</v>
      </c>
      <c r="D55" s="144" t="s">
        <v>28</v>
      </c>
      <c r="E55" s="260">
        <v>4753.0</v>
      </c>
      <c r="F55" s="260">
        <v>265.0</v>
      </c>
      <c r="G55" s="260">
        <v>0.0</v>
      </c>
      <c r="H55" s="260">
        <v>0.0</v>
      </c>
      <c r="I55" s="260">
        <v>257.0</v>
      </c>
      <c r="J55" s="260">
        <v>180.0</v>
      </c>
      <c r="K55" s="260">
        <v>59.0</v>
      </c>
      <c r="L55" s="260" t="s">
        <v>71</v>
      </c>
      <c r="M55" s="260">
        <v>26.0</v>
      </c>
      <c r="N55" s="248">
        <v>139.0</v>
      </c>
      <c r="O55" s="248">
        <v>56.0</v>
      </c>
      <c r="P55" s="260">
        <v>0.0</v>
      </c>
      <c r="Q55" s="260">
        <v>11.0</v>
      </c>
      <c r="R55" s="260">
        <v>0.0</v>
      </c>
      <c r="S55" s="260">
        <v>0.0</v>
      </c>
      <c r="T55" s="160" t="s">
        <v>37</v>
      </c>
      <c r="U55" s="173" t="s">
        <v>1234</v>
      </c>
      <c r="V55" s="202" t="s">
        <v>1235</v>
      </c>
      <c r="W55" s="191" t="s">
        <v>551</v>
      </c>
      <c r="X55" s="159" t="s">
        <v>1163</v>
      </c>
      <c r="Y55" s="260" t="s">
        <v>66</v>
      </c>
      <c r="Z55" s="260" t="s">
        <v>27</v>
      </c>
      <c r="AA55" s="260" t="s">
        <v>11</v>
      </c>
      <c r="AB55" s="260" t="s">
        <v>1236</v>
      </c>
      <c r="AC55" s="261">
        <v>2.0</v>
      </c>
      <c r="AD55" s="261">
        <v>0.0</v>
      </c>
      <c r="AE55" s="261">
        <v>0.0</v>
      </c>
      <c r="AF55" s="261">
        <v>1.0</v>
      </c>
    </row>
    <row r="56">
      <c r="A56" s="258">
        <v>479.0</v>
      </c>
      <c r="B56" s="259" t="s">
        <v>66</v>
      </c>
      <c r="C56" s="152" t="s">
        <v>337</v>
      </c>
      <c r="D56" s="158" t="s">
        <v>32</v>
      </c>
      <c r="E56" s="261">
        <v>6195.0</v>
      </c>
      <c r="F56" s="261">
        <v>287.0</v>
      </c>
      <c r="G56" s="261">
        <v>218.0</v>
      </c>
      <c r="H56" s="261">
        <v>0.0</v>
      </c>
      <c r="I56" s="261">
        <v>238.0</v>
      </c>
      <c r="J56" s="261">
        <v>174.0</v>
      </c>
      <c r="K56" s="261">
        <v>81.0</v>
      </c>
      <c r="L56" s="261" t="s">
        <v>71</v>
      </c>
      <c r="M56" s="261">
        <v>26.0</v>
      </c>
      <c r="N56" s="262">
        <v>129.0</v>
      </c>
      <c r="O56" s="248">
        <v>0.0</v>
      </c>
      <c r="P56" s="261">
        <v>0.0</v>
      </c>
      <c r="Q56" s="261">
        <v>12.0</v>
      </c>
      <c r="R56" s="261">
        <v>0.0</v>
      </c>
      <c r="S56" s="261">
        <v>0.0</v>
      </c>
      <c r="T56" s="147" t="s">
        <v>193</v>
      </c>
      <c r="U56" s="193" t="s">
        <v>1237</v>
      </c>
      <c r="V56" s="193" t="s">
        <v>1238</v>
      </c>
      <c r="W56" s="191" t="s">
        <v>551</v>
      </c>
      <c r="X56" s="149" t="s">
        <v>1239</v>
      </c>
      <c r="Y56" s="261" t="s">
        <v>66</v>
      </c>
      <c r="Z56" s="261" t="s">
        <v>557</v>
      </c>
      <c r="AA56" s="261" t="s">
        <v>11</v>
      </c>
      <c r="AB56" s="261" t="s">
        <v>1126</v>
      </c>
      <c r="AC56" s="261">
        <v>2.0</v>
      </c>
      <c r="AD56" s="261">
        <v>1.0</v>
      </c>
      <c r="AE56" s="261">
        <v>0.0</v>
      </c>
      <c r="AF56" s="261">
        <v>1.0</v>
      </c>
    </row>
    <row r="57">
      <c r="A57" s="258">
        <v>483.0</v>
      </c>
      <c r="B57" s="259" t="s">
        <v>66</v>
      </c>
      <c r="C57" s="152" t="s">
        <v>344</v>
      </c>
      <c r="D57" s="158" t="s">
        <v>32</v>
      </c>
      <c r="E57" s="261">
        <v>6084.0</v>
      </c>
      <c r="F57" s="261">
        <v>314.0</v>
      </c>
      <c r="G57" s="261">
        <v>248.0</v>
      </c>
      <c r="H57" s="261">
        <v>0.0</v>
      </c>
      <c r="I57" s="261">
        <v>223.0</v>
      </c>
      <c r="J57" s="261">
        <v>185.0</v>
      </c>
      <c r="K57" s="261">
        <v>68.0</v>
      </c>
      <c r="L57" s="261" t="s">
        <v>71</v>
      </c>
      <c r="M57" s="261">
        <v>26.0</v>
      </c>
      <c r="N57" s="262">
        <v>135.0</v>
      </c>
      <c r="O57" s="248">
        <v>50.0</v>
      </c>
      <c r="P57" s="261">
        <v>0.0</v>
      </c>
      <c r="Q57" s="261">
        <v>12.0</v>
      </c>
      <c r="R57" s="261">
        <v>0.0</v>
      </c>
      <c r="S57" s="261">
        <v>0.0</v>
      </c>
      <c r="T57" s="147" t="s">
        <v>193</v>
      </c>
      <c r="U57" s="193" t="s">
        <v>1240</v>
      </c>
      <c r="V57" s="194" t="s">
        <v>1241</v>
      </c>
      <c r="W57" s="159" t="s">
        <v>551</v>
      </c>
      <c r="X57" s="159" t="s">
        <v>1242</v>
      </c>
      <c r="Y57" s="261" t="s">
        <v>1243</v>
      </c>
      <c r="Z57" s="261" t="s">
        <v>557</v>
      </c>
      <c r="AA57" s="261" t="s">
        <v>11</v>
      </c>
      <c r="AB57" s="261" t="s">
        <v>1244</v>
      </c>
      <c r="AC57" s="261">
        <v>1.0</v>
      </c>
      <c r="AD57" s="261">
        <v>2.0</v>
      </c>
      <c r="AE57" s="261">
        <v>1.0</v>
      </c>
      <c r="AF57" s="261">
        <v>1.0</v>
      </c>
    </row>
    <row r="58">
      <c r="A58" s="258">
        <v>489.0</v>
      </c>
      <c r="B58" s="259" t="s">
        <v>66</v>
      </c>
      <c r="C58" s="171" t="s">
        <v>352</v>
      </c>
      <c r="D58" s="158" t="s">
        <v>32</v>
      </c>
      <c r="E58" s="261">
        <v>5056.0</v>
      </c>
      <c r="F58" s="261">
        <v>256.0</v>
      </c>
      <c r="G58" s="261">
        <v>0.0</v>
      </c>
      <c r="H58" s="261">
        <v>0.0</v>
      </c>
      <c r="I58" s="261">
        <v>248.0</v>
      </c>
      <c r="J58" s="261">
        <v>185.0</v>
      </c>
      <c r="K58" s="261">
        <v>59.0</v>
      </c>
      <c r="L58" s="261" t="s">
        <v>71</v>
      </c>
      <c r="M58" s="261">
        <v>26.0</v>
      </c>
      <c r="N58" s="262">
        <v>121.0</v>
      </c>
      <c r="O58" s="248">
        <v>75.0</v>
      </c>
      <c r="P58" s="261">
        <v>0.0</v>
      </c>
      <c r="Q58" s="261">
        <v>12.0</v>
      </c>
      <c r="R58" s="261">
        <v>0.0</v>
      </c>
      <c r="S58" s="261">
        <v>0.0</v>
      </c>
      <c r="T58" s="147" t="s">
        <v>269</v>
      </c>
      <c r="U58" s="193" t="s">
        <v>1245</v>
      </c>
      <c r="V58" s="202" t="s">
        <v>1246</v>
      </c>
      <c r="W58" s="159" t="s">
        <v>551</v>
      </c>
      <c r="X58" s="159" t="s">
        <v>1221</v>
      </c>
      <c r="Y58" s="260" t="s">
        <v>66</v>
      </c>
      <c r="Z58" s="260" t="s">
        <v>27</v>
      </c>
      <c r="AA58" s="260" t="s">
        <v>11</v>
      </c>
      <c r="AB58" s="260" t="s">
        <v>1247</v>
      </c>
      <c r="AC58" s="261">
        <v>2.0</v>
      </c>
      <c r="AD58" s="261">
        <v>0.0</v>
      </c>
      <c r="AE58" s="261">
        <v>0.0</v>
      </c>
      <c r="AF58" s="261">
        <v>1.0</v>
      </c>
    </row>
    <row r="59">
      <c r="A59" s="258">
        <v>496.0</v>
      </c>
      <c r="B59" s="259" t="s">
        <v>66</v>
      </c>
      <c r="C59" s="171" t="s">
        <v>362</v>
      </c>
      <c r="D59" s="158" t="s">
        <v>32</v>
      </c>
      <c r="E59" s="261">
        <v>5742.0</v>
      </c>
      <c r="F59" s="261">
        <v>265.0</v>
      </c>
      <c r="G59" s="261">
        <v>199.0</v>
      </c>
      <c r="H59" s="261">
        <v>0.0</v>
      </c>
      <c r="I59" s="261">
        <v>226.0</v>
      </c>
      <c r="J59" s="261">
        <v>185.0</v>
      </c>
      <c r="K59" s="261">
        <v>64.0</v>
      </c>
      <c r="L59" s="261" t="s">
        <v>71</v>
      </c>
      <c r="M59" s="261">
        <v>25.0</v>
      </c>
      <c r="N59" s="262">
        <v>152.0</v>
      </c>
      <c r="O59" s="248">
        <v>80.0</v>
      </c>
      <c r="P59" s="261">
        <v>0.0</v>
      </c>
      <c r="Q59" s="261">
        <v>12.0</v>
      </c>
      <c r="R59" s="261">
        <v>0.0</v>
      </c>
      <c r="S59" s="261">
        <v>0.0</v>
      </c>
      <c r="T59" s="147" t="s">
        <v>212</v>
      </c>
      <c r="U59" s="194" t="s">
        <v>1248</v>
      </c>
      <c r="V59" s="202" t="s">
        <v>1249</v>
      </c>
      <c r="W59" s="159" t="s">
        <v>551</v>
      </c>
      <c r="X59" s="159" t="s">
        <v>1250</v>
      </c>
      <c r="Y59" s="261" t="s">
        <v>1217</v>
      </c>
      <c r="Z59" s="261" t="s">
        <v>557</v>
      </c>
      <c r="AA59" s="261" t="s">
        <v>11</v>
      </c>
      <c r="AB59" s="261" t="s">
        <v>1251</v>
      </c>
      <c r="AC59" s="261">
        <v>1.0</v>
      </c>
      <c r="AD59" s="261">
        <v>2.0</v>
      </c>
      <c r="AE59" s="261">
        <v>1.0</v>
      </c>
      <c r="AF59" s="261">
        <v>1.0</v>
      </c>
    </row>
    <row r="60" ht="15.75" customHeight="1">
      <c r="A60" s="258">
        <v>512.0</v>
      </c>
      <c r="B60" s="259" t="s">
        <v>66</v>
      </c>
      <c r="C60" s="171" t="s">
        <v>384</v>
      </c>
      <c r="D60" s="158" t="s">
        <v>32</v>
      </c>
      <c r="E60" s="260">
        <v>4943.0</v>
      </c>
      <c r="F60" s="261">
        <v>259.0</v>
      </c>
      <c r="G60" s="261">
        <v>0.0</v>
      </c>
      <c r="H60" s="261">
        <v>0.0</v>
      </c>
      <c r="I60" s="261">
        <v>231.0</v>
      </c>
      <c r="J60" s="261">
        <v>182.0</v>
      </c>
      <c r="K60" s="261">
        <v>71.0</v>
      </c>
      <c r="L60" s="261" t="s">
        <v>71</v>
      </c>
      <c r="M60" s="261">
        <v>26.0</v>
      </c>
      <c r="N60" s="262">
        <v>139.0</v>
      </c>
      <c r="O60" s="263">
        <v>75.0</v>
      </c>
      <c r="P60" s="261">
        <v>0.0</v>
      </c>
      <c r="Q60" s="261">
        <v>12.0</v>
      </c>
      <c r="R60" s="261">
        <v>0.0</v>
      </c>
      <c r="S60" s="261">
        <v>0.0</v>
      </c>
      <c r="T60" s="147" t="s">
        <v>37</v>
      </c>
      <c r="U60" s="173" t="s">
        <v>1252</v>
      </c>
      <c r="V60" s="172" t="s">
        <v>1253</v>
      </c>
      <c r="W60" s="170" t="s">
        <v>551</v>
      </c>
      <c r="X60" s="149" t="s">
        <v>1254</v>
      </c>
      <c r="Y60" s="261" t="s">
        <v>66</v>
      </c>
      <c r="Z60" s="261" t="s">
        <v>27</v>
      </c>
      <c r="AA60" s="261" t="s">
        <v>11</v>
      </c>
      <c r="AB60" s="261" t="s">
        <v>1255</v>
      </c>
      <c r="AC60" s="261">
        <v>2.0</v>
      </c>
      <c r="AD60" s="261">
        <v>0.0</v>
      </c>
      <c r="AE60" s="261">
        <v>0.0</v>
      </c>
      <c r="AF60" s="261">
        <v>1.0</v>
      </c>
    </row>
    <row r="61">
      <c r="A61" s="156" t="s">
        <v>411</v>
      </c>
      <c r="B61" s="149" t="s">
        <v>66</v>
      </c>
      <c r="C61" s="157" t="str">
        <f>HYPERLINK("https://azurlane.koumakan.jp/Noire","Noire")</f>
        <v>Noire</v>
      </c>
      <c r="D61" s="158" t="s">
        <v>28</v>
      </c>
      <c r="E61" s="145">
        <v>3916.0</v>
      </c>
      <c r="F61" s="145">
        <v>240.0</v>
      </c>
      <c r="G61" s="145">
        <v>202.0</v>
      </c>
      <c r="H61" s="145">
        <v>0.0</v>
      </c>
      <c r="I61" s="145">
        <v>181.0</v>
      </c>
      <c r="J61" s="145">
        <v>167.0</v>
      </c>
      <c r="K61" s="145">
        <v>68.0</v>
      </c>
      <c r="L61" s="145" t="s">
        <v>71</v>
      </c>
      <c r="M61" s="145">
        <v>27.0</v>
      </c>
      <c r="N61" s="145">
        <v>131.0</v>
      </c>
      <c r="O61" s="266">
        <v>83.0</v>
      </c>
      <c r="P61" s="145">
        <v>0.0</v>
      </c>
      <c r="Q61" s="145">
        <v>11.0</v>
      </c>
      <c r="R61" s="145">
        <v>0.0</v>
      </c>
      <c r="S61" s="145">
        <v>0.0</v>
      </c>
      <c r="T61" s="147" t="s">
        <v>409</v>
      </c>
      <c r="U61" s="188" t="s">
        <v>1256</v>
      </c>
      <c r="V61" s="149" t="s">
        <v>551</v>
      </c>
      <c r="W61" s="159" t="s">
        <v>551</v>
      </c>
      <c r="X61" s="159" t="s">
        <v>551</v>
      </c>
      <c r="Y61" s="160" t="s">
        <v>66</v>
      </c>
      <c r="Z61" s="160" t="s">
        <v>557</v>
      </c>
      <c r="AA61" s="160" t="s">
        <v>11</v>
      </c>
      <c r="AB61" s="160" t="s">
        <v>1257</v>
      </c>
      <c r="AC61" s="160">
        <v>1.0</v>
      </c>
      <c r="AD61" s="160">
        <v>2.0</v>
      </c>
      <c r="AE61" s="160">
        <v>1.0</v>
      </c>
      <c r="AF61" s="160">
        <v>1.0</v>
      </c>
    </row>
    <row r="62">
      <c r="A62" s="156" t="s">
        <v>417</v>
      </c>
      <c r="B62" s="149" t="s">
        <v>66</v>
      </c>
      <c r="C62" s="157" t="str">
        <f>HYPERLINK("https://azurlane.koumakan.jp/Black_Heart","Black Heart")</f>
        <v>Black Heart</v>
      </c>
      <c r="D62" s="158" t="s">
        <v>32</v>
      </c>
      <c r="E62" s="145">
        <v>4155.0</v>
      </c>
      <c r="F62" s="145">
        <v>253.0</v>
      </c>
      <c r="G62" s="145">
        <v>221.0</v>
      </c>
      <c r="H62" s="145">
        <v>0.0</v>
      </c>
      <c r="I62" s="145">
        <v>197.0</v>
      </c>
      <c r="J62" s="145">
        <v>171.0</v>
      </c>
      <c r="K62" s="145">
        <v>70.0</v>
      </c>
      <c r="L62" s="145" t="s">
        <v>71</v>
      </c>
      <c r="M62" s="145">
        <v>27.0</v>
      </c>
      <c r="N62" s="145">
        <v>131.0</v>
      </c>
      <c r="O62" s="168">
        <v>83.0</v>
      </c>
      <c r="P62" s="145">
        <v>0.0</v>
      </c>
      <c r="Q62" s="145">
        <v>12.0</v>
      </c>
      <c r="R62" s="145">
        <v>0.0</v>
      </c>
      <c r="S62" s="145">
        <v>0.0</v>
      </c>
      <c r="T62" s="147" t="s">
        <v>409</v>
      </c>
      <c r="U62" s="206" t="s">
        <v>1258</v>
      </c>
      <c r="V62" s="188" t="s">
        <v>1259</v>
      </c>
      <c r="W62" s="159" t="s">
        <v>551</v>
      </c>
      <c r="X62" s="159" t="s">
        <v>551</v>
      </c>
      <c r="Y62" s="147" t="s">
        <v>66</v>
      </c>
      <c r="Z62" s="147" t="s">
        <v>557</v>
      </c>
      <c r="AA62" s="147" t="s">
        <v>11</v>
      </c>
      <c r="AB62" s="160" t="s">
        <v>1260</v>
      </c>
      <c r="AC62" s="147">
        <v>1.0</v>
      </c>
      <c r="AD62" s="147">
        <v>2.0</v>
      </c>
      <c r="AE62" s="147">
        <v>1.0</v>
      </c>
      <c r="AF62" s="147">
        <v>1.0</v>
      </c>
    </row>
    <row r="63">
      <c r="A63" s="156" t="s">
        <v>423</v>
      </c>
      <c r="B63" s="149" t="s">
        <v>66</v>
      </c>
      <c r="C63" s="157" t="str">
        <f>HYPERLINK("https://azurlane.koumakan.jp/Elegant_Kizuna_AI","Elegant Kizuna Ai")</f>
        <v>Elegant Kizuna Ai</v>
      </c>
      <c r="D63" s="158" t="s">
        <v>32</v>
      </c>
      <c r="E63" s="158">
        <v>5141.0</v>
      </c>
      <c r="F63" s="158">
        <v>259.0</v>
      </c>
      <c r="G63" s="158">
        <v>0.0</v>
      </c>
      <c r="H63" s="158">
        <v>0.0</v>
      </c>
      <c r="I63" s="158">
        <v>229.0</v>
      </c>
      <c r="J63" s="158">
        <v>177.0</v>
      </c>
      <c r="K63" s="158">
        <v>56.0</v>
      </c>
      <c r="L63" s="158" t="s">
        <v>71</v>
      </c>
      <c r="M63" s="158">
        <v>28.0</v>
      </c>
      <c r="N63" s="158">
        <v>138.0</v>
      </c>
      <c r="O63" s="144">
        <v>66.0</v>
      </c>
      <c r="P63" s="158">
        <v>0.0</v>
      </c>
      <c r="Q63" s="158">
        <v>12.0</v>
      </c>
      <c r="R63" s="158">
        <v>0.0</v>
      </c>
      <c r="S63" s="158">
        <v>0.0</v>
      </c>
      <c r="T63" s="170" t="s">
        <v>421</v>
      </c>
      <c r="U63" s="206" t="s">
        <v>1261</v>
      </c>
      <c r="V63" s="190" t="s">
        <v>1262</v>
      </c>
      <c r="W63" s="159" t="s">
        <v>551</v>
      </c>
      <c r="X63" s="149" t="s">
        <v>551</v>
      </c>
      <c r="Y63" s="147" t="s">
        <v>66</v>
      </c>
      <c r="Z63" s="147" t="s">
        <v>27</v>
      </c>
      <c r="AA63" s="147" t="s">
        <v>11</v>
      </c>
      <c r="AB63" s="147" t="s">
        <v>1263</v>
      </c>
      <c r="AC63" s="147">
        <v>2.0</v>
      </c>
      <c r="AD63" s="147">
        <v>0.0</v>
      </c>
      <c r="AE63" s="147">
        <v>0.0</v>
      </c>
      <c r="AF63" s="147">
        <v>1.0</v>
      </c>
    </row>
    <row r="64">
      <c r="A64" s="182" t="s">
        <v>435</v>
      </c>
      <c r="B64" s="196" t="s">
        <v>66</v>
      </c>
      <c r="C64" s="197" t="str">
        <f>HYPERLINK("https://azurlane.koumakan.jp/Nakiri_Ayame","Nakiri Ayame")</f>
        <v>Nakiri Ayame</v>
      </c>
      <c r="D64" s="191" t="s">
        <v>28</v>
      </c>
      <c r="E64" s="191">
        <v>4269.0</v>
      </c>
      <c r="F64" s="191">
        <v>237.0</v>
      </c>
      <c r="G64" s="191">
        <v>0.0</v>
      </c>
      <c r="H64" s="191">
        <v>0.0</v>
      </c>
      <c r="I64" s="191">
        <v>201.0</v>
      </c>
      <c r="J64" s="191">
        <v>176.0</v>
      </c>
      <c r="K64" s="191">
        <v>51.0</v>
      </c>
      <c r="L64" s="191" t="s">
        <v>29</v>
      </c>
      <c r="M64" s="191">
        <v>26.0</v>
      </c>
      <c r="N64" s="191">
        <v>112.0</v>
      </c>
      <c r="O64" s="191">
        <v>65.0</v>
      </c>
      <c r="P64" s="191">
        <v>0.0</v>
      </c>
      <c r="Q64" s="191">
        <v>11.0</v>
      </c>
      <c r="R64" s="191">
        <v>0.0</v>
      </c>
      <c r="S64" s="191">
        <v>0.0</v>
      </c>
      <c r="T64" s="191" t="s">
        <v>429</v>
      </c>
      <c r="U64" s="202" t="s">
        <v>1264</v>
      </c>
      <c r="V64" s="193" t="s">
        <v>1265</v>
      </c>
      <c r="W64" s="191" t="s">
        <v>551</v>
      </c>
      <c r="X64" s="191" t="s">
        <v>551</v>
      </c>
      <c r="Y64" s="191" t="s">
        <v>66</v>
      </c>
      <c r="Z64" s="191" t="s">
        <v>27</v>
      </c>
      <c r="AA64" s="191" t="s">
        <v>11</v>
      </c>
      <c r="AB64" s="191" t="s">
        <v>1266</v>
      </c>
      <c r="AC64" s="191">
        <v>2.0</v>
      </c>
      <c r="AD64" s="191">
        <v>0.0</v>
      </c>
      <c r="AE64" s="191">
        <v>0.0</v>
      </c>
      <c r="AF64" s="191">
        <v>1.0</v>
      </c>
    </row>
    <row r="65">
      <c r="A65" s="258" t="s">
        <v>445</v>
      </c>
      <c r="B65" s="259" t="s">
        <v>66</v>
      </c>
      <c r="C65" s="152" t="s">
        <v>446</v>
      </c>
      <c r="D65" s="158" t="s">
        <v>32</v>
      </c>
      <c r="E65" s="261">
        <v>4964.0</v>
      </c>
      <c r="F65" s="261">
        <v>267.0</v>
      </c>
      <c r="G65" s="261">
        <v>219.0</v>
      </c>
      <c r="H65" s="261">
        <v>0.0</v>
      </c>
      <c r="I65" s="261">
        <v>229.0</v>
      </c>
      <c r="J65" s="261">
        <v>177.0</v>
      </c>
      <c r="K65" s="261">
        <v>97.0</v>
      </c>
      <c r="L65" s="261" t="s">
        <v>71</v>
      </c>
      <c r="M65" s="261">
        <v>28.0</v>
      </c>
      <c r="N65" s="262">
        <v>137.0</v>
      </c>
      <c r="O65" s="248">
        <v>85.0</v>
      </c>
      <c r="P65" s="261">
        <v>0.0</v>
      </c>
      <c r="Q65" s="261">
        <v>12.0</v>
      </c>
      <c r="R65" s="261">
        <v>0.0</v>
      </c>
      <c r="S65" s="261">
        <v>0.0</v>
      </c>
      <c r="T65" s="170" t="s">
        <v>441</v>
      </c>
      <c r="U65" s="193" t="s">
        <v>1267</v>
      </c>
      <c r="V65" s="202" t="s">
        <v>1268</v>
      </c>
      <c r="W65" s="191" t="s">
        <v>551</v>
      </c>
      <c r="X65" s="170" t="s">
        <v>551</v>
      </c>
      <c r="Y65" s="170" t="s">
        <v>66</v>
      </c>
      <c r="Z65" s="170" t="s">
        <v>557</v>
      </c>
      <c r="AA65" s="170" t="s">
        <v>11</v>
      </c>
      <c r="AB65" s="170" t="s">
        <v>1269</v>
      </c>
      <c r="AC65" s="170">
        <v>1.0</v>
      </c>
      <c r="AD65" s="170">
        <v>2.0</v>
      </c>
      <c r="AE65" s="170">
        <v>1.0</v>
      </c>
      <c r="AF65" s="170">
        <v>1.0</v>
      </c>
    </row>
    <row r="66">
      <c r="A66" s="258" t="s">
        <v>464</v>
      </c>
      <c r="B66" s="259" t="s">
        <v>66</v>
      </c>
      <c r="C66" s="171" t="s">
        <v>465</v>
      </c>
      <c r="D66" s="158" t="s">
        <v>32</v>
      </c>
      <c r="E66" s="261">
        <v>5361.0</v>
      </c>
      <c r="F66" s="261">
        <v>243.0</v>
      </c>
      <c r="G66" s="261">
        <v>0.0</v>
      </c>
      <c r="H66" s="261">
        <v>0.0</v>
      </c>
      <c r="I66" s="261">
        <v>215.0</v>
      </c>
      <c r="J66" s="261">
        <v>177.0</v>
      </c>
      <c r="K66" s="261">
        <v>67.0</v>
      </c>
      <c r="L66" s="261" t="s">
        <v>71</v>
      </c>
      <c r="M66" s="261">
        <v>26.0</v>
      </c>
      <c r="N66" s="262">
        <v>134.0</v>
      </c>
      <c r="O66" s="248">
        <v>91.0</v>
      </c>
      <c r="P66" s="261">
        <v>0.0</v>
      </c>
      <c r="Q66" s="261">
        <v>12.0</v>
      </c>
      <c r="R66" s="261">
        <v>0.0</v>
      </c>
      <c r="S66" s="261">
        <v>0.0</v>
      </c>
      <c r="T66" s="147" t="s">
        <v>459</v>
      </c>
      <c r="U66" s="193" t="s">
        <v>1270</v>
      </c>
      <c r="V66" s="194" t="s">
        <v>1271</v>
      </c>
      <c r="W66" s="193" t="s">
        <v>1272</v>
      </c>
      <c r="X66" s="159" t="s">
        <v>551</v>
      </c>
      <c r="Y66" s="260" t="s">
        <v>66</v>
      </c>
      <c r="Z66" s="260" t="s">
        <v>27</v>
      </c>
      <c r="AA66" s="260" t="s">
        <v>11</v>
      </c>
      <c r="AB66" s="260" t="s">
        <v>1273</v>
      </c>
      <c r="AC66" s="260">
        <v>2.0</v>
      </c>
      <c r="AD66" s="260">
        <v>0.0</v>
      </c>
      <c r="AE66" s="260">
        <v>0.0</v>
      </c>
      <c r="AF66" s="260">
        <v>1.0</v>
      </c>
    </row>
    <row r="67">
      <c r="A67" s="156" t="s">
        <v>476</v>
      </c>
      <c r="B67" s="149" t="s">
        <v>66</v>
      </c>
      <c r="C67" s="157" t="str">
        <f>HYPERLINK("https://azurlane.koumakan.jp/Ibuki","Ibuki")</f>
        <v>Ibuki</v>
      </c>
      <c r="D67" s="158" t="s">
        <v>473</v>
      </c>
      <c r="E67" s="145">
        <v>4904.0</v>
      </c>
      <c r="F67" s="145">
        <v>276.0</v>
      </c>
      <c r="G67" s="168">
        <v>295.0</v>
      </c>
      <c r="H67" s="145">
        <v>0.0</v>
      </c>
      <c r="I67" s="145">
        <v>198.0</v>
      </c>
      <c r="J67" s="145">
        <v>189.0</v>
      </c>
      <c r="K67" s="145">
        <v>89.0</v>
      </c>
      <c r="L67" s="145" t="s">
        <v>71</v>
      </c>
      <c r="M67" s="145">
        <v>28.0</v>
      </c>
      <c r="N67" s="145">
        <v>140.0</v>
      </c>
      <c r="O67" s="165">
        <v>15.0</v>
      </c>
      <c r="P67" s="145">
        <v>0.0</v>
      </c>
      <c r="Q67" s="145">
        <v>13.0</v>
      </c>
      <c r="R67" s="158">
        <v>0.0</v>
      </c>
      <c r="S67" s="158">
        <v>0.0</v>
      </c>
      <c r="T67" s="147" t="s">
        <v>143</v>
      </c>
      <c r="U67" s="188" t="s">
        <v>1274</v>
      </c>
      <c r="V67" s="188" t="s">
        <v>1275</v>
      </c>
      <c r="W67" s="179" t="s">
        <v>873</v>
      </c>
      <c r="X67" s="149" t="s">
        <v>1276</v>
      </c>
      <c r="Y67" s="147" t="s">
        <v>66</v>
      </c>
      <c r="Z67" s="147" t="s">
        <v>557</v>
      </c>
      <c r="AA67" s="147" t="s">
        <v>11</v>
      </c>
      <c r="AB67" s="147" t="s">
        <v>1277</v>
      </c>
      <c r="AC67" s="147">
        <v>1.0</v>
      </c>
      <c r="AD67" s="147">
        <v>2.0</v>
      </c>
      <c r="AE67" s="147">
        <v>2.0</v>
      </c>
      <c r="AF67" s="147">
        <v>1.0</v>
      </c>
    </row>
    <row r="68">
      <c r="A68" s="156" t="s">
        <v>478</v>
      </c>
      <c r="B68" s="149" t="s">
        <v>66</v>
      </c>
      <c r="C68" s="157" t="str">
        <f>HYPERLINK("https://azurlane.koumakan.jp/Roon","Roon")</f>
        <v>Roon</v>
      </c>
      <c r="D68" s="158" t="s">
        <v>473</v>
      </c>
      <c r="E68" s="145">
        <v>6055.0</v>
      </c>
      <c r="F68" s="145">
        <v>289.0</v>
      </c>
      <c r="G68" s="145">
        <v>220.0</v>
      </c>
      <c r="H68" s="145">
        <v>0.0</v>
      </c>
      <c r="I68" s="145">
        <v>238.0</v>
      </c>
      <c r="J68" s="145">
        <v>174.0</v>
      </c>
      <c r="K68" s="145">
        <v>80.0</v>
      </c>
      <c r="L68" s="145" t="s">
        <v>71</v>
      </c>
      <c r="M68" s="145">
        <v>26.0</v>
      </c>
      <c r="N68" s="145">
        <v>129.0</v>
      </c>
      <c r="O68" s="165">
        <v>15.0</v>
      </c>
      <c r="P68" s="158">
        <v>0.0</v>
      </c>
      <c r="Q68" s="145">
        <v>13.0</v>
      </c>
      <c r="R68" s="158">
        <v>0.0</v>
      </c>
      <c r="S68" s="158">
        <v>0.0</v>
      </c>
      <c r="T68" s="147" t="s">
        <v>193</v>
      </c>
      <c r="U68" s="188" t="s">
        <v>1278</v>
      </c>
      <c r="V68" s="190" t="s">
        <v>1279</v>
      </c>
      <c r="W68" s="179" t="s">
        <v>873</v>
      </c>
      <c r="X68" s="149" t="s">
        <v>1239</v>
      </c>
      <c r="Y68" s="147" t="s">
        <v>66</v>
      </c>
      <c r="Z68" s="147" t="s">
        <v>557</v>
      </c>
      <c r="AA68" s="147" t="s">
        <v>11</v>
      </c>
      <c r="AB68" s="147" t="s">
        <v>1126</v>
      </c>
      <c r="AC68" s="147">
        <v>2.0</v>
      </c>
      <c r="AD68" s="147">
        <v>1.0</v>
      </c>
      <c r="AE68" s="147">
        <v>0.0</v>
      </c>
      <c r="AF68" s="147">
        <v>1.0</v>
      </c>
    </row>
    <row r="69">
      <c r="A69" s="156" t="s">
        <v>479</v>
      </c>
      <c r="B69" s="149" t="s">
        <v>66</v>
      </c>
      <c r="C69" s="157" t="str">
        <f>HYPERLINK("https://azurlane.koumakan.jp/Saint_Louis","Saint Louis")</f>
        <v>Saint Louis</v>
      </c>
      <c r="D69" s="158" t="s">
        <v>473</v>
      </c>
      <c r="E69" s="145">
        <v>5485.0</v>
      </c>
      <c r="F69" s="145">
        <v>282.0</v>
      </c>
      <c r="G69" s="145">
        <v>231.0</v>
      </c>
      <c r="H69" s="145">
        <v>0.0</v>
      </c>
      <c r="I69" s="145">
        <v>253.0</v>
      </c>
      <c r="J69" s="145">
        <v>193.0</v>
      </c>
      <c r="K69" s="145">
        <v>83.0</v>
      </c>
      <c r="L69" s="145" t="s">
        <v>71</v>
      </c>
      <c r="M69" s="145">
        <v>26.0</v>
      </c>
      <c r="N69" s="145">
        <v>141.0</v>
      </c>
      <c r="O69" s="165">
        <v>15.0</v>
      </c>
      <c r="P69" s="158">
        <v>0.0</v>
      </c>
      <c r="Q69" s="145">
        <v>13.0</v>
      </c>
      <c r="R69" s="158">
        <v>0.0</v>
      </c>
      <c r="S69" s="158">
        <v>0.0</v>
      </c>
      <c r="T69" s="147" t="s">
        <v>243</v>
      </c>
      <c r="U69" s="188" t="s">
        <v>1280</v>
      </c>
      <c r="V69" s="190" t="s">
        <v>1281</v>
      </c>
      <c r="W69" s="179" t="s">
        <v>873</v>
      </c>
      <c r="X69" s="149" t="s">
        <v>1282</v>
      </c>
      <c r="Y69" s="147" t="s">
        <v>66</v>
      </c>
      <c r="Z69" s="147" t="s">
        <v>557</v>
      </c>
      <c r="AA69" s="147" t="s">
        <v>11</v>
      </c>
      <c r="AB69" s="147" t="s">
        <v>1283</v>
      </c>
      <c r="AC69" s="147">
        <v>2.0</v>
      </c>
      <c r="AD69" s="147">
        <v>1.0</v>
      </c>
      <c r="AE69" s="147">
        <v>0.0</v>
      </c>
      <c r="AF69" s="147">
        <v>1.0</v>
      </c>
    </row>
    <row r="70">
      <c r="A70" s="258" t="s">
        <v>488</v>
      </c>
      <c r="B70" s="259" t="s">
        <v>66</v>
      </c>
      <c r="C70" s="152" t="s">
        <v>489</v>
      </c>
      <c r="D70" s="158" t="s">
        <v>473</v>
      </c>
      <c r="E70" s="261">
        <v>5260.0</v>
      </c>
      <c r="F70" s="261">
        <v>288.0</v>
      </c>
      <c r="G70" s="261">
        <v>212.0</v>
      </c>
      <c r="H70" s="261">
        <v>0.0</v>
      </c>
      <c r="I70" s="267">
        <v>418.0</v>
      </c>
      <c r="J70" s="261">
        <v>158.0</v>
      </c>
      <c r="K70" s="261">
        <v>78.0</v>
      </c>
      <c r="L70" s="261" t="s">
        <v>71</v>
      </c>
      <c r="M70" s="261">
        <v>27.0</v>
      </c>
      <c r="N70" s="262">
        <v>133.0</v>
      </c>
      <c r="O70" s="248">
        <v>15.0</v>
      </c>
      <c r="P70" s="261">
        <v>0.0</v>
      </c>
      <c r="Q70" s="261">
        <v>13.0</v>
      </c>
      <c r="R70" s="261">
        <v>0.0</v>
      </c>
      <c r="S70" s="261">
        <v>0.0</v>
      </c>
      <c r="T70" s="147" t="s">
        <v>104</v>
      </c>
      <c r="U70" s="188" t="s">
        <v>1284</v>
      </c>
      <c r="V70" s="206" t="s">
        <v>1285</v>
      </c>
      <c r="W70" s="209" t="s">
        <v>873</v>
      </c>
      <c r="X70" s="149" t="s">
        <v>1286</v>
      </c>
      <c r="Y70" s="147" t="s">
        <v>66</v>
      </c>
      <c r="Z70" s="147" t="s">
        <v>557</v>
      </c>
      <c r="AA70" s="147" t="s">
        <v>11</v>
      </c>
      <c r="AB70" s="147" t="s">
        <v>1287</v>
      </c>
      <c r="AC70" s="147">
        <v>1.0</v>
      </c>
      <c r="AD70" s="147">
        <v>1.0</v>
      </c>
      <c r="AE70" s="147">
        <v>1.0</v>
      </c>
      <c r="AF70" s="147">
        <v>2.0</v>
      </c>
    </row>
    <row r="71">
      <c r="A71" s="258" t="s">
        <v>490</v>
      </c>
      <c r="B71" s="259" t="s">
        <v>66</v>
      </c>
      <c r="C71" s="152" t="s">
        <v>491</v>
      </c>
      <c r="D71" s="158" t="s">
        <v>485</v>
      </c>
      <c r="E71" s="261">
        <v>5800.0</v>
      </c>
      <c r="F71" s="261">
        <v>295.0</v>
      </c>
      <c r="G71" s="261">
        <v>250.0</v>
      </c>
      <c r="H71" s="261">
        <v>0.0</v>
      </c>
      <c r="I71" s="261">
        <v>295.0</v>
      </c>
      <c r="J71" s="261">
        <v>141.0</v>
      </c>
      <c r="K71" s="261">
        <v>77.0</v>
      </c>
      <c r="L71" s="261" t="s">
        <v>71</v>
      </c>
      <c r="M71" s="261">
        <v>26.0</v>
      </c>
      <c r="N71" s="262">
        <v>149.0</v>
      </c>
      <c r="O71" s="248">
        <v>0.0</v>
      </c>
      <c r="P71" s="261">
        <v>0.0</v>
      </c>
      <c r="Q71" s="261">
        <v>15.0</v>
      </c>
      <c r="R71" s="261">
        <v>0.0</v>
      </c>
      <c r="S71" s="261">
        <v>0.0</v>
      </c>
      <c r="T71" s="147" t="s">
        <v>104</v>
      </c>
      <c r="U71" s="188" t="s">
        <v>1288</v>
      </c>
      <c r="V71" s="206" t="s">
        <v>1289</v>
      </c>
      <c r="W71" s="209" t="s">
        <v>873</v>
      </c>
      <c r="X71" s="149" t="s">
        <v>1290</v>
      </c>
      <c r="Y71" s="261" t="s">
        <v>66</v>
      </c>
      <c r="Z71" s="261" t="s">
        <v>557</v>
      </c>
      <c r="AA71" s="261" t="s">
        <v>11</v>
      </c>
      <c r="AB71" s="261" t="s">
        <v>1283</v>
      </c>
      <c r="AC71" s="261">
        <v>2.0</v>
      </c>
      <c r="AD71" s="261">
        <v>1.0</v>
      </c>
      <c r="AE71" s="261">
        <v>1.0</v>
      </c>
      <c r="AF71" s="261">
        <v>1.0</v>
      </c>
    </row>
    <row r="72">
      <c r="A72" s="258" t="s">
        <v>498</v>
      </c>
      <c r="B72" s="259" t="s">
        <v>66</v>
      </c>
      <c r="C72" s="171" t="s">
        <v>499</v>
      </c>
      <c r="D72" s="158" t="s">
        <v>473</v>
      </c>
      <c r="E72" s="261">
        <v>6399.0</v>
      </c>
      <c r="F72" s="261">
        <v>257.0</v>
      </c>
      <c r="G72" s="261">
        <v>219.0</v>
      </c>
      <c r="H72" s="261">
        <v>0.0</v>
      </c>
      <c r="I72" s="261">
        <v>232.0</v>
      </c>
      <c r="J72" s="261">
        <v>166.0</v>
      </c>
      <c r="K72" s="261">
        <v>82.0</v>
      </c>
      <c r="L72" s="261" t="s">
        <v>71</v>
      </c>
      <c r="M72" s="261">
        <v>26.0</v>
      </c>
      <c r="N72" s="262">
        <v>152.0</v>
      </c>
      <c r="O72" s="248">
        <v>0.0</v>
      </c>
      <c r="P72" s="261">
        <v>0.0</v>
      </c>
      <c r="Q72" s="261">
        <v>13.0</v>
      </c>
      <c r="R72" s="261">
        <v>0.0</v>
      </c>
      <c r="S72" s="261">
        <v>0.0</v>
      </c>
      <c r="T72" s="147" t="s">
        <v>37</v>
      </c>
      <c r="U72" s="193" t="s">
        <v>1291</v>
      </c>
      <c r="V72" s="194" t="s">
        <v>1292</v>
      </c>
      <c r="W72" s="209" t="s">
        <v>873</v>
      </c>
      <c r="X72" s="159" t="s">
        <v>1293</v>
      </c>
      <c r="Y72" s="261" t="s">
        <v>66</v>
      </c>
      <c r="Z72" s="261" t="s">
        <v>557</v>
      </c>
      <c r="AA72" s="261" t="s">
        <v>11</v>
      </c>
      <c r="AB72" s="261" t="s">
        <v>1294</v>
      </c>
      <c r="AC72" s="261">
        <v>2.0</v>
      </c>
      <c r="AD72" s="261">
        <v>1.0</v>
      </c>
      <c r="AE72" s="261">
        <v>1.0</v>
      </c>
      <c r="AF72" s="261">
        <v>1.0</v>
      </c>
    </row>
    <row r="73">
      <c r="A73" s="156" t="s">
        <v>483</v>
      </c>
      <c r="B73" s="149" t="s">
        <v>484</v>
      </c>
      <c r="C73" s="157" t="str">
        <f>HYPERLINK("https://azurlane.koumakan.jp/Azuma","Azuma")</f>
        <v>Azuma</v>
      </c>
      <c r="D73" s="158" t="s">
        <v>485</v>
      </c>
      <c r="E73" s="145">
        <v>7717.0</v>
      </c>
      <c r="F73" s="168">
        <v>314.0</v>
      </c>
      <c r="G73" s="145">
        <v>0.0</v>
      </c>
      <c r="H73" s="145">
        <v>0.0</v>
      </c>
      <c r="I73" s="145">
        <v>231.0</v>
      </c>
      <c r="J73" s="145">
        <v>172.0</v>
      </c>
      <c r="K73" s="145">
        <v>51.0</v>
      </c>
      <c r="L73" s="145" t="s">
        <v>71</v>
      </c>
      <c r="M73" s="145">
        <v>27.0</v>
      </c>
      <c r="N73" s="145">
        <v>129.0</v>
      </c>
      <c r="O73" s="165">
        <v>25.0</v>
      </c>
      <c r="P73" s="145">
        <v>0.0</v>
      </c>
      <c r="Q73" s="145">
        <v>16.0</v>
      </c>
      <c r="R73" s="145">
        <v>0.0</v>
      </c>
      <c r="S73" s="145">
        <v>0.0</v>
      </c>
      <c r="T73" s="147" t="s">
        <v>143</v>
      </c>
      <c r="U73" s="188" t="s">
        <v>1295</v>
      </c>
      <c r="V73" s="190" t="s">
        <v>1296</v>
      </c>
      <c r="W73" s="209" t="s">
        <v>873</v>
      </c>
      <c r="X73" s="149" t="s">
        <v>1297</v>
      </c>
      <c r="Y73" s="147" t="s">
        <v>484</v>
      </c>
      <c r="Z73" s="147" t="s">
        <v>27</v>
      </c>
      <c r="AA73" s="147" t="s">
        <v>11</v>
      </c>
      <c r="AB73" s="147" t="s">
        <v>1298</v>
      </c>
      <c r="AC73" s="147">
        <v>2.0</v>
      </c>
      <c r="AD73" s="147">
        <v>0.0</v>
      </c>
      <c r="AE73" s="147">
        <v>0.0</v>
      </c>
      <c r="AF73" s="147">
        <v>1.0</v>
      </c>
    </row>
    <row r="74">
      <c r="A74" s="258" t="s">
        <v>502</v>
      </c>
      <c r="B74" s="259" t="s">
        <v>484</v>
      </c>
      <c r="C74" s="171" t="s">
        <v>503</v>
      </c>
      <c r="D74" s="158" t="s">
        <v>485</v>
      </c>
      <c r="E74" s="267">
        <v>8056.0</v>
      </c>
      <c r="F74" s="261">
        <v>288.0</v>
      </c>
      <c r="G74" s="261">
        <v>206.0</v>
      </c>
      <c r="H74" s="261">
        <v>0.0</v>
      </c>
      <c r="I74" s="261">
        <v>257.0</v>
      </c>
      <c r="J74" s="261">
        <v>170.0</v>
      </c>
      <c r="K74" s="261">
        <v>53.0</v>
      </c>
      <c r="L74" s="261" t="s">
        <v>83</v>
      </c>
      <c r="M74" s="261">
        <v>26.0</v>
      </c>
      <c r="N74" s="262">
        <v>134.0</v>
      </c>
      <c r="O74" s="248">
        <v>0.0</v>
      </c>
      <c r="P74" s="261">
        <v>0.0</v>
      </c>
      <c r="Q74" s="261">
        <v>16.0</v>
      </c>
      <c r="R74" s="261">
        <v>0.0</v>
      </c>
      <c r="S74" s="261">
        <v>0.0</v>
      </c>
      <c r="T74" s="147" t="s">
        <v>193</v>
      </c>
      <c r="U74" s="202" t="s">
        <v>1299</v>
      </c>
      <c r="V74" s="194" t="s">
        <v>1300</v>
      </c>
      <c r="W74" s="179" t="s">
        <v>873</v>
      </c>
      <c r="X74" s="179" t="s">
        <v>1301</v>
      </c>
      <c r="Y74" s="261" t="s">
        <v>1243</v>
      </c>
      <c r="Z74" s="261" t="s">
        <v>557</v>
      </c>
      <c r="AA74" s="261" t="s">
        <v>11</v>
      </c>
      <c r="AB74" s="261" t="s">
        <v>1302</v>
      </c>
      <c r="AC74" s="261">
        <v>2.0</v>
      </c>
      <c r="AD74" s="261">
        <v>1.0</v>
      </c>
      <c r="AE74" s="261">
        <v>1.0</v>
      </c>
      <c r="AF74" s="261">
        <v>1.0</v>
      </c>
    </row>
    <row r="75">
      <c r="A75" s="258">
        <v>524.0</v>
      </c>
      <c r="B75" s="259" t="s">
        <v>66</v>
      </c>
      <c r="C75" s="171" t="s">
        <v>515</v>
      </c>
      <c r="D75" s="158" t="s">
        <v>28</v>
      </c>
      <c r="E75" s="261">
        <v>4123.0</v>
      </c>
      <c r="F75" s="261">
        <v>240.0</v>
      </c>
      <c r="G75" s="261">
        <v>259.0</v>
      </c>
      <c r="H75" s="261">
        <v>0.0</v>
      </c>
      <c r="I75" s="261">
        <v>261.0</v>
      </c>
      <c r="J75" s="261">
        <v>182.0</v>
      </c>
      <c r="K75" s="261">
        <v>59.0</v>
      </c>
      <c r="L75" s="261" t="s">
        <v>71</v>
      </c>
      <c r="M75" s="261">
        <v>32.0</v>
      </c>
      <c r="N75" s="262">
        <v>135.0</v>
      </c>
      <c r="O75" s="248">
        <v>45.0</v>
      </c>
      <c r="P75" s="261">
        <v>0.0</v>
      </c>
      <c r="Q75" s="261">
        <v>11.0</v>
      </c>
      <c r="R75" s="261">
        <v>0.0</v>
      </c>
      <c r="S75" s="261">
        <v>0.0</v>
      </c>
      <c r="T75" s="147" t="s">
        <v>247</v>
      </c>
      <c r="U75" s="202" t="s">
        <v>1303</v>
      </c>
      <c r="V75" s="193" t="s">
        <v>1304</v>
      </c>
      <c r="W75" s="191" t="s">
        <v>551</v>
      </c>
      <c r="X75" s="149" t="s">
        <v>1305</v>
      </c>
      <c r="Y75" s="261" t="s">
        <v>66</v>
      </c>
      <c r="Z75" s="261" t="s">
        <v>1136</v>
      </c>
      <c r="AA75" s="261" t="s">
        <v>11</v>
      </c>
      <c r="AB75" s="261" t="s">
        <v>1306</v>
      </c>
      <c r="AC75" s="261">
        <v>1.0</v>
      </c>
      <c r="AD75" s="261">
        <v>2.0</v>
      </c>
      <c r="AE75" s="261">
        <v>1.0</v>
      </c>
      <c r="AF75" s="261">
        <v>1.0</v>
      </c>
    </row>
    <row r="76">
      <c r="A76" s="258">
        <v>521.0</v>
      </c>
      <c r="B76" s="259" t="s">
        <v>66</v>
      </c>
      <c r="C76" s="171" t="s">
        <v>516</v>
      </c>
      <c r="D76" s="158" t="s">
        <v>32</v>
      </c>
      <c r="E76" s="261">
        <v>5025.0</v>
      </c>
      <c r="F76" s="261">
        <v>246.0</v>
      </c>
      <c r="G76" s="261">
        <v>0.0</v>
      </c>
      <c r="H76" s="261">
        <v>0.0</v>
      </c>
      <c r="I76" s="261">
        <v>271.0</v>
      </c>
      <c r="J76" s="261">
        <v>185.0</v>
      </c>
      <c r="K76" s="261">
        <v>61.0</v>
      </c>
      <c r="L76" s="261" t="s">
        <v>71</v>
      </c>
      <c r="M76" s="261">
        <v>26.0</v>
      </c>
      <c r="N76" s="262">
        <v>139.0</v>
      </c>
      <c r="O76" s="248">
        <v>76.0</v>
      </c>
      <c r="P76" s="261">
        <v>0.0</v>
      </c>
      <c r="Q76" s="261">
        <v>12.0</v>
      </c>
      <c r="R76" s="261">
        <v>0.0</v>
      </c>
      <c r="S76" s="261">
        <v>0.0</v>
      </c>
      <c r="T76" s="147" t="s">
        <v>37</v>
      </c>
      <c r="U76" s="202" t="s">
        <v>1307</v>
      </c>
      <c r="V76" s="194" t="s">
        <v>1308</v>
      </c>
      <c r="W76" s="191" t="s">
        <v>551</v>
      </c>
      <c r="X76" s="149" t="s">
        <v>1156</v>
      </c>
      <c r="Y76" s="261" t="s">
        <v>66</v>
      </c>
      <c r="Z76" s="261" t="s">
        <v>27</v>
      </c>
      <c r="AA76" s="261" t="s">
        <v>11</v>
      </c>
      <c r="AB76" s="261" t="s">
        <v>1214</v>
      </c>
      <c r="AC76" s="261">
        <v>2.0</v>
      </c>
      <c r="AD76" s="261">
        <v>0.0</v>
      </c>
      <c r="AE76" s="261">
        <v>0.0</v>
      </c>
      <c r="AF76" s="261">
        <v>1.0</v>
      </c>
    </row>
    <row r="77">
      <c r="A77" s="258" t="s">
        <v>519</v>
      </c>
      <c r="B77" s="259" t="s">
        <v>66</v>
      </c>
      <c r="C77" s="171" t="s">
        <v>520</v>
      </c>
      <c r="D77" s="158" t="s">
        <v>28</v>
      </c>
      <c r="E77" s="261">
        <v>4111.0</v>
      </c>
      <c r="F77" s="261">
        <v>240.0</v>
      </c>
      <c r="G77" s="261">
        <v>218.0</v>
      </c>
      <c r="H77" s="261">
        <v>0.0</v>
      </c>
      <c r="I77" s="261">
        <v>213.0</v>
      </c>
      <c r="J77" s="261">
        <v>181.0</v>
      </c>
      <c r="K77" s="261">
        <v>40.0</v>
      </c>
      <c r="L77" s="261" t="s">
        <v>71</v>
      </c>
      <c r="M77" s="261">
        <v>24.0</v>
      </c>
      <c r="N77" s="262">
        <v>131.0</v>
      </c>
      <c r="O77" s="248">
        <v>55.0</v>
      </c>
      <c r="P77" s="261">
        <v>0.0</v>
      </c>
      <c r="Q77" s="261">
        <v>11.0</v>
      </c>
      <c r="R77" s="261">
        <v>0.0</v>
      </c>
      <c r="S77" s="261">
        <v>0.0</v>
      </c>
      <c r="T77" s="147" t="s">
        <v>512</v>
      </c>
      <c r="U77" s="194" t="s">
        <v>1309</v>
      </c>
      <c r="V77" s="193" t="s">
        <v>1310</v>
      </c>
      <c r="W77" s="191" t="s">
        <v>551</v>
      </c>
      <c r="X77" s="149" t="s">
        <v>551</v>
      </c>
      <c r="Y77" s="261" t="s">
        <v>66</v>
      </c>
      <c r="Z77" s="261" t="s">
        <v>1136</v>
      </c>
      <c r="AA77" s="261" t="s">
        <v>11</v>
      </c>
      <c r="AB77" s="261" t="s">
        <v>1311</v>
      </c>
      <c r="AC77" s="261">
        <v>1.0</v>
      </c>
      <c r="AD77" s="261">
        <v>2.0</v>
      </c>
      <c r="AE77" s="261">
        <v>1.0</v>
      </c>
      <c r="AF77" s="261">
        <v>1.0</v>
      </c>
    </row>
    <row r="78">
      <c r="A78" s="258" t="s">
        <v>521</v>
      </c>
      <c r="B78" s="259" t="s">
        <v>66</v>
      </c>
      <c r="C78" s="171" t="s">
        <v>522</v>
      </c>
      <c r="D78" s="158" t="s">
        <v>32</v>
      </c>
      <c r="E78" s="261">
        <v>5361.0</v>
      </c>
      <c r="F78" s="261">
        <v>251.0</v>
      </c>
      <c r="G78" s="261">
        <v>0.0</v>
      </c>
      <c r="H78" s="261">
        <v>0.0</v>
      </c>
      <c r="I78" s="261">
        <v>252.0</v>
      </c>
      <c r="J78" s="261">
        <v>189.0</v>
      </c>
      <c r="K78" s="261">
        <v>76.0</v>
      </c>
      <c r="L78" s="261" t="s">
        <v>71</v>
      </c>
      <c r="M78" s="261">
        <v>25.0</v>
      </c>
      <c r="N78" s="262">
        <v>154.0</v>
      </c>
      <c r="O78" s="248">
        <v>55.0</v>
      </c>
      <c r="P78" s="261">
        <v>0.0</v>
      </c>
      <c r="Q78" s="261">
        <v>12.0</v>
      </c>
      <c r="R78" s="261">
        <v>0.0</v>
      </c>
      <c r="S78" s="261">
        <v>0.0</v>
      </c>
      <c r="T78" s="147" t="s">
        <v>512</v>
      </c>
      <c r="U78" s="193" t="s">
        <v>1312</v>
      </c>
      <c r="V78" s="202" t="s">
        <v>1313</v>
      </c>
      <c r="W78" s="193" t="s">
        <v>1314</v>
      </c>
      <c r="X78" s="149" t="s">
        <v>551</v>
      </c>
      <c r="Y78" s="261" t="s">
        <v>66</v>
      </c>
      <c r="Z78" s="261" t="s">
        <v>27</v>
      </c>
      <c r="AA78" s="261" t="s">
        <v>11</v>
      </c>
      <c r="AB78" s="261" t="s">
        <v>1273</v>
      </c>
      <c r="AC78" s="261">
        <v>2.0</v>
      </c>
      <c r="AD78" s="261">
        <v>0.0</v>
      </c>
      <c r="AE78" s="261">
        <v>0.0</v>
      </c>
      <c r="AF78" s="261">
        <v>1.0</v>
      </c>
    </row>
    <row r="79">
      <c r="A79" s="258">
        <v>527.0</v>
      </c>
      <c r="B79" s="259" t="s">
        <v>66</v>
      </c>
      <c r="C79" s="171" t="s">
        <v>533</v>
      </c>
      <c r="D79" s="158" t="s">
        <v>32</v>
      </c>
      <c r="E79" s="261">
        <v>6146.0</v>
      </c>
      <c r="F79" s="261">
        <v>303.0</v>
      </c>
      <c r="G79" s="261">
        <v>259.0</v>
      </c>
      <c r="H79" s="261">
        <v>0.0</v>
      </c>
      <c r="I79" s="261">
        <v>220.0</v>
      </c>
      <c r="J79" s="261">
        <v>185.0</v>
      </c>
      <c r="K79" s="261">
        <v>68.0</v>
      </c>
      <c r="L79" s="261" t="s">
        <v>71</v>
      </c>
      <c r="M79" s="261">
        <v>26.0</v>
      </c>
      <c r="N79" s="262">
        <v>138.0</v>
      </c>
      <c r="O79" s="248">
        <v>50.0</v>
      </c>
      <c r="P79" s="261">
        <v>0.0</v>
      </c>
      <c r="Q79" s="261">
        <v>12.0</v>
      </c>
      <c r="R79" s="261">
        <v>0.0</v>
      </c>
      <c r="S79" s="261">
        <v>0.0</v>
      </c>
      <c r="T79" s="147" t="s">
        <v>193</v>
      </c>
      <c r="U79" s="193" t="s">
        <v>1315</v>
      </c>
      <c r="V79" s="194" t="s">
        <v>1316</v>
      </c>
      <c r="W79" s="149" t="s">
        <v>551</v>
      </c>
      <c r="X79" s="149" t="s">
        <v>1242</v>
      </c>
      <c r="Y79" s="261" t="s">
        <v>1243</v>
      </c>
      <c r="Z79" s="261" t="s">
        <v>1136</v>
      </c>
      <c r="AA79" s="261" t="s">
        <v>11</v>
      </c>
      <c r="AB79" s="261" t="s">
        <v>1317</v>
      </c>
      <c r="AC79" s="261">
        <v>1.0</v>
      </c>
      <c r="AD79" s="261">
        <v>2.0</v>
      </c>
      <c r="AE79" s="261">
        <v>1.0</v>
      </c>
      <c r="AF79" s="261">
        <v>1.0</v>
      </c>
    </row>
    <row r="80">
      <c r="A80" s="268"/>
      <c r="B80" s="269"/>
      <c r="C80" s="270"/>
      <c r="D80" s="158"/>
      <c r="E80" s="271"/>
      <c r="F80" s="271"/>
      <c r="G80" s="271"/>
      <c r="H80" s="271"/>
      <c r="I80" s="271"/>
      <c r="J80" s="271"/>
      <c r="K80" s="271"/>
      <c r="L80" s="271"/>
      <c r="M80" s="271"/>
      <c r="N80" s="272"/>
      <c r="O80" s="273"/>
      <c r="P80" s="271"/>
      <c r="Q80" s="271"/>
      <c r="R80" s="271"/>
      <c r="S80" s="271"/>
      <c r="T80" s="147"/>
      <c r="U80" s="163"/>
      <c r="V80" s="163"/>
      <c r="W80" s="149"/>
      <c r="X80" s="149"/>
      <c r="Y80" s="271"/>
      <c r="Z80" s="271"/>
      <c r="AA80" s="271"/>
      <c r="AB80" s="271"/>
      <c r="AC80" s="271"/>
      <c r="AD80" s="271"/>
      <c r="AE80" s="271"/>
      <c r="AF80" s="271"/>
    </row>
    <row r="81">
      <c r="A81" s="268"/>
      <c r="B81" s="269"/>
      <c r="C81" s="270"/>
      <c r="D81" s="158"/>
      <c r="E81" s="271"/>
      <c r="F81" s="271"/>
      <c r="G81" s="271"/>
      <c r="H81" s="271"/>
      <c r="I81" s="271"/>
      <c r="J81" s="271"/>
      <c r="K81" s="271"/>
      <c r="L81" s="271"/>
      <c r="M81" s="271"/>
      <c r="N81" s="272"/>
      <c r="O81" s="273"/>
      <c r="P81" s="271"/>
      <c r="Q81" s="271"/>
      <c r="R81" s="271"/>
      <c r="S81" s="271"/>
      <c r="T81" s="147"/>
      <c r="U81" s="163"/>
      <c r="V81" s="163"/>
      <c r="W81" s="149"/>
      <c r="X81" s="149"/>
      <c r="Y81" s="271"/>
      <c r="Z81" s="271"/>
      <c r="AA81" s="271"/>
      <c r="AB81" s="271"/>
      <c r="AC81" s="271"/>
      <c r="AD81" s="271"/>
      <c r="AE81" s="271"/>
      <c r="AF81" s="271"/>
    </row>
    <row r="82">
      <c r="A82" s="268"/>
      <c r="B82" s="269"/>
      <c r="C82" s="270"/>
      <c r="D82" s="158"/>
      <c r="E82" s="271"/>
      <c r="F82" s="271"/>
      <c r="G82" s="271"/>
      <c r="H82" s="271"/>
      <c r="I82" s="271"/>
      <c r="J82" s="271"/>
      <c r="K82" s="271"/>
      <c r="L82" s="271"/>
      <c r="M82" s="271"/>
      <c r="N82" s="272"/>
      <c r="O82" s="273"/>
      <c r="P82" s="271"/>
      <c r="Q82" s="271"/>
      <c r="R82" s="271"/>
      <c r="S82" s="271"/>
      <c r="T82" s="147"/>
      <c r="U82" s="163"/>
      <c r="V82" s="163"/>
      <c r="W82" s="149"/>
      <c r="X82" s="149"/>
      <c r="Y82" s="271"/>
      <c r="Z82" s="271"/>
      <c r="AA82" s="271"/>
      <c r="AB82" s="271"/>
      <c r="AC82" s="271"/>
      <c r="AD82" s="271"/>
      <c r="AE82" s="271"/>
      <c r="AF82" s="271"/>
    </row>
  </sheetData>
  <customSheetViews>
    <customSheetView guid="{9DC526C2-9056-41E1-BFB1-A0E348919450}" filter="1" showAutoFilter="1">
      <autoFilter ref="$A$1:$AB$82">
        <filterColumn colId="19">
          <filters blank="1">
            <filter val="SSSS"/>
            <filter val="Idolmaster"/>
            <filter val="Iron Blood"/>
            <filter val="Northern Parliament"/>
            <filter val="Hololive"/>
            <filter val="Venus"/>
            <filter val="Sardegna Empire"/>
            <filter val="Vichya Dominion"/>
            <filter val="Royal Navy"/>
          </filters>
        </filterColumn>
      </autoFilter>
    </customSheetView>
  </customSheetViews>
  <conditionalFormatting sqref="T1:T82">
    <cfRule type="cellIs" dxfId="15" priority="1" operator="equal">
      <formula>"Northern Parliament"</formula>
    </cfRule>
  </conditionalFormatting>
  <conditionalFormatting sqref="T1:T82">
    <cfRule type="cellIs" dxfId="27" priority="2" operator="equal">
      <formula>"Venus"</formula>
    </cfRule>
  </conditionalFormatting>
  <conditionalFormatting sqref="T1:T82">
    <cfRule type="cellIs" dxfId="24" priority="3" operator="equal">
      <formula>"Hololive"</formula>
    </cfRule>
  </conditionalFormatting>
  <conditionalFormatting sqref="T1:T82">
    <cfRule type="cellIs" dxfId="12" priority="4" operator="equal">
      <formula>"Sardegna Empire"</formula>
    </cfRule>
  </conditionalFormatting>
  <conditionalFormatting sqref="T1:T82">
    <cfRule type="cellIs" dxfId="23" priority="5" operator="equal">
      <formula>"Universal"</formula>
    </cfRule>
  </conditionalFormatting>
  <conditionalFormatting sqref="D2:D82">
    <cfRule type="cellIs" dxfId="4" priority="6" operator="equal">
      <formula>"Priority"</formula>
    </cfRule>
  </conditionalFormatting>
  <conditionalFormatting sqref="D2:D82">
    <cfRule type="cellIs" dxfId="5" priority="7" operator="equal">
      <formula>"Decisive"</formula>
    </cfRule>
  </conditionalFormatting>
  <conditionalFormatting sqref="B1:B82">
    <cfRule type="cellIs" dxfId="21" priority="8" operator="equal">
      <formula>"CB"</formula>
    </cfRule>
  </conditionalFormatting>
  <conditionalFormatting sqref="T1:T82">
    <cfRule type="cellIs" dxfId="22" priority="9" operator="equal">
      <formula>"Kizuna Ai"</formula>
    </cfRule>
  </conditionalFormatting>
  <conditionalFormatting sqref="X2:X71 X73:X82">
    <cfRule type="containsBlanks" dxfId="31" priority="10">
      <formula>LEN(TRIM(X2))=0</formula>
    </cfRule>
  </conditionalFormatting>
  <conditionalFormatting sqref="X2:X71 X73:X82">
    <cfRule type="notContainsText" dxfId="5" priority="11" operator="notContains" text="--">
      <formula>ISERROR(SEARCH(("--"),(X2)))</formula>
    </cfRule>
  </conditionalFormatting>
  <conditionalFormatting sqref="D2:D82">
    <cfRule type="cellIs" dxfId="1" priority="12" operator="equal">
      <formula>"Common"</formula>
    </cfRule>
  </conditionalFormatting>
  <conditionalFormatting sqref="D2:D82">
    <cfRule type="cellIs" dxfId="2" priority="13" operator="equal">
      <formula>"Rare"</formula>
    </cfRule>
  </conditionalFormatting>
  <conditionalFormatting sqref="D2:D82">
    <cfRule type="cellIs" dxfId="3" priority="14" operator="equal">
      <formula>"Elite"</formula>
    </cfRule>
  </conditionalFormatting>
  <conditionalFormatting sqref="D2:D82">
    <cfRule type="cellIs" dxfId="4" priority="15" operator="equal">
      <formula>"Super Rare"</formula>
    </cfRule>
  </conditionalFormatting>
  <conditionalFormatting sqref="D2:D82">
    <cfRule type="cellIs" dxfId="5" priority="16" operator="equal">
      <formula>"Ultra Rare"</formula>
    </cfRule>
  </conditionalFormatting>
  <conditionalFormatting sqref="B1:B82">
    <cfRule type="cellIs" dxfId="7" priority="17" operator="equal">
      <formula>"CA"</formula>
    </cfRule>
  </conditionalFormatting>
  <conditionalFormatting sqref="B1:B82">
    <cfRule type="cellIs" dxfId="8" priority="18" operator="equal">
      <formula>"CL"</formula>
    </cfRule>
  </conditionalFormatting>
  <conditionalFormatting sqref="T1:T82">
    <cfRule type="cellIs" dxfId="2" priority="19" operator="equal">
      <formula>"Eagle Union"</formula>
    </cfRule>
  </conditionalFormatting>
  <conditionalFormatting sqref="T1:T82">
    <cfRule type="cellIs" dxfId="16" priority="20" operator="equal">
      <formula>"Royal Navy"</formula>
    </cfRule>
  </conditionalFormatting>
  <conditionalFormatting sqref="T1:T82">
    <cfRule type="cellIs" dxfId="17" priority="21" operator="equal">
      <formula>"Sakura Empire"</formula>
    </cfRule>
  </conditionalFormatting>
  <conditionalFormatting sqref="T1:T82">
    <cfRule type="cellIs" dxfId="5" priority="22" operator="equal">
      <formula>"Iron Blood"</formula>
    </cfRule>
  </conditionalFormatting>
  <conditionalFormatting sqref="T1:T82">
    <cfRule type="cellIs" dxfId="18" priority="23" operator="equal">
      <formula>"Dragon Empery"</formula>
    </cfRule>
  </conditionalFormatting>
  <conditionalFormatting sqref="T1:T82">
    <cfRule type="cellIs" dxfId="4" priority="24" operator="equal">
      <formula>"Iris Libre"</formula>
    </cfRule>
  </conditionalFormatting>
  <conditionalFormatting sqref="T1:T82">
    <cfRule type="cellIs" dxfId="9" priority="25" operator="equal">
      <formula>"Vichya Dominion"</formula>
    </cfRule>
  </conditionalFormatting>
  <conditionalFormatting sqref="T1:T82">
    <cfRule type="cellIs" dxfId="3" priority="26" operator="equal">
      <formula>"Neptunia"</formula>
    </cfRule>
  </conditionalFormatting>
  <conditionalFormatting sqref="E2:E82">
    <cfRule type="colorScale" priority="27">
      <colorScale>
        <cfvo type="min"/>
        <cfvo type="percentile" val="50"/>
        <cfvo type="formula" val="6500"/>
        <color rgb="FFE67C73"/>
        <color rgb="FFFFD666"/>
        <color rgb="FF57BB8A"/>
      </colorScale>
    </cfRule>
  </conditionalFormatting>
  <conditionalFormatting sqref="F2:F82">
    <cfRule type="colorScale" priority="28">
      <colorScale>
        <cfvo type="min"/>
        <cfvo type="percentile" val="50"/>
        <cfvo type="max"/>
        <color rgb="FFE67C73"/>
        <color rgb="FFFFD666"/>
        <color rgb="FF57BB8A"/>
      </colorScale>
    </cfRule>
  </conditionalFormatting>
  <conditionalFormatting sqref="I2:I82">
    <cfRule type="colorScale" priority="29">
      <colorScale>
        <cfvo type="min"/>
        <cfvo type="percentile" val="50"/>
        <cfvo type="formula" val="320"/>
        <color rgb="FFE67C73"/>
        <color rgb="FFFFD666"/>
        <color rgb="FF57BB8A"/>
      </colorScale>
    </cfRule>
  </conditionalFormatting>
  <conditionalFormatting sqref="G2:G82">
    <cfRule type="colorScale" priority="30">
      <colorScale>
        <cfvo type="formula" val="120"/>
        <cfvo type="percentile" val="50"/>
        <cfvo type="max"/>
        <color rgb="FFE67C73"/>
        <color rgb="FFFFD666"/>
        <color rgb="FF57BB8A"/>
      </colorScale>
    </cfRule>
  </conditionalFormatting>
  <conditionalFormatting sqref="L2:L82">
    <cfRule type="cellIs" dxfId="36" priority="31" operator="equal">
      <formula>"Light"</formula>
    </cfRule>
  </conditionalFormatting>
  <conditionalFormatting sqref="L2:L82">
    <cfRule type="cellIs" dxfId="35" priority="32" operator="equal">
      <formula>"Medium"</formula>
    </cfRule>
  </conditionalFormatting>
  <conditionalFormatting sqref="M2:M82">
    <cfRule type="colorScale" priority="33">
      <colorScale>
        <cfvo type="min"/>
        <cfvo type="percentile" val="50"/>
        <cfvo type="max"/>
        <color rgb="FFE67C73"/>
        <color rgb="FFFFD666"/>
        <color rgb="FF57BB8A"/>
      </colorScale>
    </cfRule>
  </conditionalFormatting>
  <conditionalFormatting sqref="P2:P82">
    <cfRule type="colorScale" priority="34">
      <colorScale>
        <cfvo type="formula" val="39"/>
        <cfvo type="percentile" val="50"/>
        <cfvo type="max"/>
        <color rgb="FFE67C73"/>
        <color rgb="FFFFD666"/>
        <color rgb="FF57BB8A"/>
      </colorScale>
    </cfRule>
  </conditionalFormatting>
  <conditionalFormatting sqref="N2:N82">
    <cfRule type="colorScale" priority="35">
      <colorScale>
        <cfvo type="min"/>
        <cfvo type="percentile" val="50"/>
        <cfvo type="formula" val="150"/>
        <color rgb="FFE67C73"/>
        <color rgb="FFFFD666"/>
        <color rgb="FF57BB8A"/>
      </colorScale>
    </cfRule>
  </conditionalFormatting>
  <conditionalFormatting sqref="O2:O82">
    <cfRule type="colorScale" priority="36">
      <colorScale>
        <cfvo type="min"/>
        <cfvo type="percentile" val="50"/>
        <cfvo type="max"/>
        <color rgb="FFE67C73"/>
        <color rgb="FFFFD666"/>
        <color rgb="FF57BB8A"/>
      </colorScale>
    </cfRule>
  </conditionalFormatting>
  <conditionalFormatting sqref="K2:K82">
    <cfRule type="colorScale" priority="37">
      <colorScale>
        <cfvo type="min"/>
        <cfvo type="percentile" val="50"/>
        <cfvo type="max"/>
        <color rgb="FFE67C73"/>
        <color rgb="FFFFD666"/>
        <color rgb="FF57BB8A"/>
      </colorScale>
    </cfRule>
  </conditionalFormatting>
  <conditionalFormatting sqref="Q2:Q82">
    <cfRule type="colorScale" priority="38">
      <colorScale>
        <cfvo type="min"/>
        <cfvo type="percentile" val="50"/>
        <cfvo type="max"/>
        <color rgb="FF57BB8A"/>
        <color rgb="FFFFD666"/>
        <color rgb="FFE67C73"/>
      </colorScale>
    </cfRule>
  </conditionalFormatting>
  <conditionalFormatting sqref="J2:J82">
    <cfRule type="colorScale" priority="39">
      <colorScale>
        <cfvo type="min"/>
        <cfvo type="percentile" val="50"/>
        <cfvo type="max"/>
        <color rgb="FFE67C73"/>
        <color rgb="FFFFD666"/>
        <color rgb="FF57BB8A"/>
      </colorScale>
    </cfRule>
  </conditionalFormatting>
  <conditionalFormatting sqref="P2:P82">
    <cfRule type="colorScale" priority="40">
      <colorScale>
        <cfvo type="formula" val="39"/>
        <cfvo type="percentile" val="50"/>
        <cfvo type="max"/>
        <color rgb="FFE67C73"/>
        <color rgb="FFFFD666"/>
        <color rgb="FF57BB8A"/>
      </colorScale>
    </cfRule>
  </conditionalFormatting>
  <conditionalFormatting sqref="L2:L82">
    <cfRule type="cellIs" dxfId="19" priority="41" operator="equal">
      <formula>"Heavy"</formula>
    </cfRule>
  </conditionalFormatting>
  <hyperlinks>
    <hyperlink r:id="rId2" ref="C34"/>
    <hyperlink r:id="rId3" ref="C51"/>
    <hyperlink r:id="rId4" ref="C53"/>
    <hyperlink r:id="rId5" ref="C54"/>
    <hyperlink r:id="rId6" ref="C55"/>
    <hyperlink r:id="rId7" ref="C56"/>
    <hyperlink r:id="rId8" ref="C57"/>
    <hyperlink r:id="rId9" ref="C58"/>
    <hyperlink r:id="rId10" ref="C59"/>
    <hyperlink r:id="rId11" ref="C60"/>
    <hyperlink r:id="rId12" ref="C65"/>
    <hyperlink r:id="rId13" ref="C66"/>
    <hyperlink r:id="rId14" ref="C70"/>
    <hyperlink r:id="rId15" ref="C71"/>
    <hyperlink r:id="rId16" ref="C72"/>
    <hyperlink r:id="rId17" ref="C74"/>
    <hyperlink r:id="rId18" ref="C75"/>
    <hyperlink r:id="rId19" ref="C76"/>
    <hyperlink r:id="rId20" ref="C77"/>
    <hyperlink r:id="rId21" ref="C78"/>
    <hyperlink r:id="rId22" ref="C79"/>
  </hyperlinks>
  <drawing r:id="rId23"/>
  <legacyDrawing r:id="rId24"/>
  <tableParts count="1">
    <tablePart r:id="rId26"/>
  </tableParts>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9CB9C"/>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29"/>
    <col customWidth="1" min="2" max="2" width="5.14"/>
    <col customWidth="1" min="3" max="3" width="17.43"/>
    <col customWidth="1" min="4" max="4" width="10.57"/>
    <col customWidth="1" min="5" max="7" width="5.86"/>
    <col customWidth="1" hidden="1" min="8" max="8" width="5.86"/>
    <col customWidth="1" min="9" max="11" width="5.86"/>
    <col customWidth="1" min="12" max="12" width="7.29"/>
    <col customWidth="1" min="13" max="17" width="5.86"/>
    <col customWidth="1" hidden="1" min="18" max="19" width="5.86"/>
    <col customWidth="1" min="20" max="20" width="17.71"/>
    <col customWidth="1" min="21" max="21" width="25.43"/>
    <col customWidth="1" min="22" max="22" width="25.14"/>
    <col customWidth="1" min="23" max="23" width="21.0"/>
    <col customWidth="1" min="24" max="24" width="20.57"/>
    <col customWidth="1" min="25" max="27" width="8.0"/>
    <col customWidth="1" min="28" max="32" width="11.43"/>
  </cols>
  <sheetData>
    <row r="1">
      <c r="A1" s="215" t="s">
        <v>3</v>
      </c>
      <c r="B1" s="136" t="s">
        <v>4</v>
      </c>
      <c r="C1" s="274" t="s">
        <v>5</v>
      </c>
      <c r="D1" s="136" t="s">
        <v>6</v>
      </c>
      <c r="E1" s="137" t="s">
        <v>7</v>
      </c>
      <c r="F1" s="137" t="s">
        <v>8</v>
      </c>
      <c r="G1" s="137" t="s">
        <v>9</v>
      </c>
      <c r="H1" s="137" t="s">
        <v>10</v>
      </c>
      <c r="I1" s="137" t="s">
        <v>11</v>
      </c>
      <c r="J1" s="137" t="s">
        <v>12</v>
      </c>
      <c r="K1" s="137" t="s">
        <v>13</v>
      </c>
      <c r="L1" s="137" t="s">
        <v>14</v>
      </c>
      <c r="M1" s="137" t="s">
        <v>15</v>
      </c>
      <c r="N1" s="138" t="s">
        <v>16</v>
      </c>
      <c r="O1" s="138" t="s">
        <v>17</v>
      </c>
      <c r="P1" s="137" t="s">
        <v>18</v>
      </c>
      <c r="Q1" s="137" t="s">
        <v>19</v>
      </c>
      <c r="R1" s="137" t="s">
        <v>20</v>
      </c>
      <c r="S1" s="137" t="s">
        <v>21</v>
      </c>
      <c r="T1" s="139" t="s">
        <v>22</v>
      </c>
      <c r="U1" s="140" t="s">
        <v>541</v>
      </c>
      <c r="V1" s="140" t="s">
        <v>542</v>
      </c>
      <c r="W1" s="140" t="s">
        <v>1318</v>
      </c>
      <c r="X1" s="140" t="s">
        <v>544</v>
      </c>
      <c r="Y1" s="139" t="s">
        <v>546</v>
      </c>
      <c r="Z1" s="139" t="s">
        <v>547</v>
      </c>
      <c r="AA1" s="139" t="s">
        <v>548</v>
      </c>
      <c r="AB1" s="139" t="s">
        <v>549</v>
      </c>
      <c r="AC1" s="139" t="s">
        <v>875</v>
      </c>
      <c r="AD1" s="139" t="s">
        <v>876</v>
      </c>
      <c r="AE1" s="139" t="s">
        <v>877</v>
      </c>
      <c r="AF1" s="139" t="s">
        <v>878</v>
      </c>
    </row>
    <row r="2" ht="15.75" customHeight="1">
      <c r="A2" s="141">
        <v>29.0</v>
      </c>
      <c r="B2" s="142" t="s">
        <v>52</v>
      </c>
      <c r="C2" s="275" t="str">
        <f>HYPERLINK("https://azurlane.koumakan.jp/Omaha","Omaha")</f>
        <v>Omaha</v>
      </c>
      <c r="D2" s="142" t="s">
        <v>40</v>
      </c>
      <c r="E2" s="165">
        <v>3312.0</v>
      </c>
      <c r="F2" s="145">
        <v>144.0</v>
      </c>
      <c r="G2" s="145">
        <v>210.0</v>
      </c>
      <c r="H2" s="145">
        <v>0.0</v>
      </c>
      <c r="I2" s="145">
        <v>287.0</v>
      </c>
      <c r="J2" s="145">
        <v>185.0</v>
      </c>
      <c r="K2" s="145">
        <v>127.0</v>
      </c>
      <c r="L2" s="145" t="s">
        <v>29</v>
      </c>
      <c r="M2" s="145">
        <v>35.0</v>
      </c>
      <c r="N2" s="145">
        <v>156.0</v>
      </c>
      <c r="O2" s="145">
        <v>67.0</v>
      </c>
      <c r="P2" s="145">
        <v>82.0</v>
      </c>
      <c r="Q2" s="145">
        <v>8.0</v>
      </c>
      <c r="R2" s="145">
        <v>0.0</v>
      </c>
      <c r="S2" s="145">
        <v>0.0</v>
      </c>
      <c r="T2" s="147" t="s">
        <v>37</v>
      </c>
      <c r="U2" s="164" t="s">
        <v>562</v>
      </c>
      <c r="V2" s="149" t="s">
        <v>551</v>
      </c>
      <c r="W2" s="149" t="s">
        <v>551</v>
      </c>
      <c r="X2" s="149" t="s">
        <v>879</v>
      </c>
      <c r="Y2" s="147" t="s">
        <v>52</v>
      </c>
      <c r="Z2" s="147" t="s">
        <v>557</v>
      </c>
      <c r="AA2" s="147" t="s">
        <v>11</v>
      </c>
      <c r="AB2" s="147" t="s">
        <v>880</v>
      </c>
      <c r="AC2" s="147">
        <v>1.0</v>
      </c>
      <c r="AD2" s="147">
        <v>2.0</v>
      </c>
      <c r="AE2" s="147">
        <v>1.0</v>
      </c>
      <c r="AF2" s="147">
        <v>1.0</v>
      </c>
    </row>
    <row r="3" ht="15.75" customHeight="1">
      <c r="A3" s="141">
        <v>30.0</v>
      </c>
      <c r="B3" s="142" t="s">
        <v>52</v>
      </c>
      <c r="C3" s="275" t="str">
        <f>HYPERLINK("https://azurlane.koumakan.jp/Raleigh","Raleigh")</f>
        <v>Raleigh</v>
      </c>
      <c r="D3" s="142" t="s">
        <v>40</v>
      </c>
      <c r="E3" s="165">
        <v>3312.0</v>
      </c>
      <c r="F3" s="145">
        <v>144.0</v>
      </c>
      <c r="G3" s="145">
        <v>210.0</v>
      </c>
      <c r="H3" s="145">
        <v>0.0</v>
      </c>
      <c r="I3" s="145">
        <v>287.0</v>
      </c>
      <c r="J3" s="145">
        <v>185.0</v>
      </c>
      <c r="K3" s="145">
        <v>127.0</v>
      </c>
      <c r="L3" s="145" t="s">
        <v>29</v>
      </c>
      <c r="M3" s="145">
        <v>35.0</v>
      </c>
      <c r="N3" s="145">
        <v>156.0</v>
      </c>
      <c r="O3" s="145">
        <v>82.0</v>
      </c>
      <c r="P3" s="145">
        <v>82.0</v>
      </c>
      <c r="Q3" s="145">
        <v>8.0</v>
      </c>
      <c r="R3" s="145">
        <v>0.0</v>
      </c>
      <c r="S3" s="145">
        <v>0.0</v>
      </c>
      <c r="T3" s="147" t="s">
        <v>37</v>
      </c>
      <c r="U3" s="164" t="s">
        <v>562</v>
      </c>
      <c r="V3" s="149" t="s">
        <v>551</v>
      </c>
      <c r="W3" s="149" t="s">
        <v>551</v>
      </c>
      <c r="X3" s="149" t="s">
        <v>879</v>
      </c>
      <c r="Y3" s="147" t="s">
        <v>52</v>
      </c>
      <c r="Z3" s="147" t="s">
        <v>557</v>
      </c>
      <c r="AA3" s="147" t="s">
        <v>11</v>
      </c>
      <c r="AB3" s="147" t="s">
        <v>880</v>
      </c>
      <c r="AC3" s="147">
        <v>1.0</v>
      </c>
      <c r="AD3" s="147">
        <v>2.0</v>
      </c>
      <c r="AE3" s="147">
        <v>1.0</v>
      </c>
      <c r="AF3" s="147">
        <v>1.0</v>
      </c>
    </row>
    <row r="4" ht="15.75" customHeight="1">
      <c r="A4" s="141">
        <v>31.0</v>
      </c>
      <c r="B4" s="142" t="s">
        <v>52</v>
      </c>
      <c r="C4" s="275" t="str">
        <f>HYPERLINK("https://azurlane.koumakan.jp/Brooklyn","Brooklyn")</f>
        <v>Brooklyn</v>
      </c>
      <c r="D4" s="149" t="s">
        <v>36</v>
      </c>
      <c r="E4" s="165">
        <v>3550.0</v>
      </c>
      <c r="F4" s="145">
        <v>166.0</v>
      </c>
      <c r="G4" s="145">
        <v>0.0</v>
      </c>
      <c r="H4" s="145">
        <v>0.0</v>
      </c>
      <c r="I4" s="145">
        <v>313.0</v>
      </c>
      <c r="J4" s="145">
        <v>183.0</v>
      </c>
      <c r="K4" s="145">
        <v>106.0</v>
      </c>
      <c r="L4" s="145" t="s">
        <v>29</v>
      </c>
      <c r="M4" s="145">
        <v>32.0</v>
      </c>
      <c r="N4" s="145">
        <v>162.0</v>
      </c>
      <c r="O4" s="145">
        <v>55.0</v>
      </c>
      <c r="P4" s="145">
        <v>100.0</v>
      </c>
      <c r="Q4" s="145">
        <v>9.0</v>
      </c>
      <c r="R4" s="145">
        <v>0.0</v>
      </c>
      <c r="S4" s="145">
        <v>0.0</v>
      </c>
      <c r="T4" s="147" t="s">
        <v>37</v>
      </c>
      <c r="U4" s="148" t="s">
        <v>881</v>
      </c>
      <c r="V4" s="149" t="s">
        <v>551</v>
      </c>
      <c r="W4" s="149" t="s">
        <v>551</v>
      </c>
      <c r="X4" s="149" t="s">
        <v>882</v>
      </c>
      <c r="Y4" s="147" t="s">
        <v>52</v>
      </c>
      <c r="Z4" s="147" t="s">
        <v>27</v>
      </c>
      <c r="AA4" s="147" t="s">
        <v>11</v>
      </c>
      <c r="AB4" s="147" t="s">
        <v>883</v>
      </c>
      <c r="AC4" s="147">
        <v>2.0</v>
      </c>
      <c r="AD4" s="147">
        <v>0.0</v>
      </c>
      <c r="AE4" s="147">
        <v>0.0</v>
      </c>
      <c r="AF4" s="147">
        <v>1.0</v>
      </c>
    </row>
    <row r="5" ht="15.75" customHeight="1">
      <c r="A5" s="141">
        <v>32.0</v>
      </c>
      <c r="B5" s="142" t="s">
        <v>52</v>
      </c>
      <c r="C5" s="275" t="str">
        <f>HYPERLINK("https://azurlane.koumakan.jp/Phoenix","Phoenix")</f>
        <v>Phoenix</v>
      </c>
      <c r="D5" s="142" t="s">
        <v>36</v>
      </c>
      <c r="E5" s="145">
        <v>3550.0</v>
      </c>
      <c r="F5" s="145">
        <v>166.0</v>
      </c>
      <c r="G5" s="145">
        <v>0.0</v>
      </c>
      <c r="H5" s="145">
        <v>0.0</v>
      </c>
      <c r="I5" s="145">
        <v>313.0</v>
      </c>
      <c r="J5" s="145">
        <v>183.0</v>
      </c>
      <c r="K5" s="145">
        <v>106.0</v>
      </c>
      <c r="L5" s="145" t="s">
        <v>29</v>
      </c>
      <c r="M5" s="145">
        <v>32.0</v>
      </c>
      <c r="N5" s="145">
        <v>162.0</v>
      </c>
      <c r="O5" s="145">
        <v>88.0</v>
      </c>
      <c r="P5" s="145">
        <v>97.0</v>
      </c>
      <c r="Q5" s="145">
        <v>9.0</v>
      </c>
      <c r="R5" s="145">
        <v>0.0</v>
      </c>
      <c r="S5" s="145">
        <v>0.0</v>
      </c>
      <c r="T5" s="147" t="s">
        <v>37</v>
      </c>
      <c r="U5" s="161" t="s">
        <v>884</v>
      </c>
      <c r="V5" s="149" t="s">
        <v>551</v>
      </c>
      <c r="W5" s="149" t="s">
        <v>551</v>
      </c>
      <c r="X5" s="149" t="s">
        <v>882</v>
      </c>
      <c r="Y5" s="147" t="s">
        <v>52</v>
      </c>
      <c r="Z5" s="147" t="s">
        <v>27</v>
      </c>
      <c r="AA5" s="147" t="s">
        <v>11</v>
      </c>
      <c r="AB5" s="147" t="s">
        <v>883</v>
      </c>
      <c r="AC5" s="147">
        <v>2.0</v>
      </c>
      <c r="AD5" s="147">
        <v>0.0</v>
      </c>
      <c r="AE5" s="147">
        <v>0.0</v>
      </c>
      <c r="AF5" s="147">
        <v>1.0</v>
      </c>
    </row>
    <row r="6" ht="15.75" customHeight="1">
      <c r="A6" s="141">
        <v>33.0</v>
      </c>
      <c r="B6" s="142" t="s">
        <v>52</v>
      </c>
      <c r="C6" s="275" t="str">
        <f>HYPERLINK("https://azurlane.koumakan.jp/Helena","Helena")</f>
        <v>Helena</v>
      </c>
      <c r="D6" s="142" t="s">
        <v>28</v>
      </c>
      <c r="E6" s="145">
        <v>3688.0</v>
      </c>
      <c r="F6" s="145">
        <v>174.0</v>
      </c>
      <c r="G6" s="145">
        <v>0.0</v>
      </c>
      <c r="H6" s="145">
        <v>0.0</v>
      </c>
      <c r="I6" s="145">
        <v>323.0</v>
      </c>
      <c r="J6" s="145">
        <v>188.0</v>
      </c>
      <c r="K6" s="145">
        <v>106.0</v>
      </c>
      <c r="L6" s="145" t="s">
        <v>29</v>
      </c>
      <c r="M6" s="145">
        <v>32.0</v>
      </c>
      <c r="N6" s="145">
        <v>180.0</v>
      </c>
      <c r="O6" s="145">
        <v>33.0</v>
      </c>
      <c r="P6" s="145">
        <v>111.0</v>
      </c>
      <c r="Q6" s="145">
        <v>10.0</v>
      </c>
      <c r="R6" s="145">
        <v>0.0</v>
      </c>
      <c r="S6" s="145">
        <v>0.0</v>
      </c>
      <c r="T6" s="147" t="s">
        <v>37</v>
      </c>
      <c r="U6" s="148" t="s">
        <v>885</v>
      </c>
      <c r="V6" s="149" t="s">
        <v>551</v>
      </c>
      <c r="W6" s="149" t="s">
        <v>551</v>
      </c>
      <c r="X6" s="149" t="s">
        <v>882</v>
      </c>
      <c r="Y6" s="147" t="s">
        <v>52</v>
      </c>
      <c r="Z6" s="147" t="s">
        <v>27</v>
      </c>
      <c r="AA6" s="147" t="s">
        <v>11</v>
      </c>
      <c r="AB6" s="147" t="s">
        <v>883</v>
      </c>
      <c r="AC6" s="147">
        <v>2.0</v>
      </c>
      <c r="AD6" s="147">
        <v>0.0</v>
      </c>
      <c r="AE6" s="147">
        <v>0.0</v>
      </c>
      <c r="AF6" s="147">
        <v>1.0</v>
      </c>
    </row>
    <row r="7" ht="15.75" customHeight="1">
      <c r="A7" s="141">
        <v>33.1</v>
      </c>
      <c r="B7" s="142" t="s">
        <v>52</v>
      </c>
      <c r="C7" s="143" t="s">
        <v>57</v>
      </c>
      <c r="D7" s="142" t="s">
        <v>32</v>
      </c>
      <c r="E7" s="145">
        <v>3928.0</v>
      </c>
      <c r="F7" s="145">
        <v>184.0</v>
      </c>
      <c r="G7" s="145">
        <v>0.0</v>
      </c>
      <c r="H7" s="145">
        <v>0.0</v>
      </c>
      <c r="I7" s="145">
        <v>413.0</v>
      </c>
      <c r="J7" s="145">
        <v>193.0</v>
      </c>
      <c r="K7" s="145">
        <v>106.0</v>
      </c>
      <c r="L7" s="145" t="s">
        <v>29</v>
      </c>
      <c r="M7" s="145">
        <v>32.0</v>
      </c>
      <c r="N7" s="168">
        <v>195.0</v>
      </c>
      <c r="O7" s="145">
        <v>33.0</v>
      </c>
      <c r="P7" s="145">
        <v>111.0</v>
      </c>
      <c r="Q7" s="145">
        <v>10.0</v>
      </c>
      <c r="R7" s="145">
        <v>0.0</v>
      </c>
      <c r="S7" s="145">
        <v>0.0</v>
      </c>
      <c r="T7" s="147" t="s">
        <v>37</v>
      </c>
      <c r="U7" s="148" t="s">
        <v>886</v>
      </c>
      <c r="V7" s="163" t="s">
        <v>551</v>
      </c>
      <c r="W7" s="148" t="s">
        <v>887</v>
      </c>
      <c r="X7" s="149" t="s">
        <v>882</v>
      </c>
      <c r="Y7" s="147" t="s">
        <v>52</v>
      </c>
      <c r="Z7" s="147" t="s">
        <v>27</v>
      </c>
      <c r="AA7" s="147" t="s">
        <v>11</v>
      </c>
      <c r="AB7" s="147" t="s">
        <v>888</v>
      </c>
      <c r="AC7" s="147">
        <v>2.0</v>
      </c>
      <c r="AD7" s="147">
        <v>0.0</v>
      </c>
      <c r="AE7" s="147">
        <v>0.0</v>
      </c>
      <c r="AF7" s="147">
        <v>1.0</v>
      </c>
    </row>
    <row r="8" ht="15.75" customHeight="1">
      <c r="A8" s="141">
        <v>34.0</v>
      </c>
      <c r="B8" s="142" t="s">
        <v>52</v>
      </c>
      <c r="C8" s="275" t="str">
        <f>HYPERLINK("https://azurlane.koumakan.jp/Atlanta","Atlanta")</f>
        <v>Atlanta</v>
      </c>
      <c r="D8" s="142" t="s">
        <v>36</v>
      </c>
      <c r="E8" s="145">
        <v>3598.0</v>
      </c>
      <c r="F8" s="145">
        <v>131.0</v>
      </c>
      <c r="G8" s="145">
        <v>159.0</v>
      </c>
      <c r="H8" s="145">
        <v>0.0</v>
      </c>
      <c r="I8" s="145">
        <v>431.0</v>
      </c>
      <c r="J8" s="145">
        <v>181.0</v>
      </c>
      <c r="K8" s="145">
        <v>112.0</v>
      </c>
      <c r="L8" s="145" t="s">
        <v>29</v>
      </c>
      <c r="M8" s="145">
        <v>32.0</v>
      </c>
      <c r="N8" s="145">
        <v>173.0</v>
      </c>
      <c r="O8" s="145">
        <v>12.0</v>
      </c>
      <c r="P8" s="145">
        <v>190.0</v>
      </c>
      <c r="Q8" s="145">
        <v>9.0</v>
      </c>
      <c r="R8" s="145">
        <v>0.0</v>
      </c>
      <c r="S8" s="145">
        <v>0.0</v>
      </c>
      <c r="T8" s="147" t="s">
        <v>37</v>
      </c>
      <c r="U8" s="148" t="s">
        <v>889</v>
      </c>
      <c r="V8" s="161" t="s">
        <v>590</v>
      </c>
      <c r="W8" s="149" t="s">
        <v>551</v>
      </c>
      <c r="X8" s="149" t="s">
        <v>890</v>
      </c>
      <c r="Y8" s="147" t="s">
        <v>677</v>
      </c>
      <c r="Z8" s="147" t="s">
        <v>557</v>
      </c>
      <c r="AA8" s="147" t="s">
        <v>11</v>
      </c>
      <c r="AB8" s="147" t="s">
        <v>891</v>
      </c>
      <c r="AC8" s="147">
        <v>1.0</v>
      </c>
      <c r="AD8" s="147">
        <v>2.0</v>
      </c>
      <c r="AE8" s="147">
        <v>1.0</v>
      </c>
      <c r="AF8" s="147">
        <v>1.0</v>
      </c>
    </row>
    <row r="9" ht="15.75" customHeight="1">
      <c r="A9" s="141">
        <v>35.0</v>
      </c>
      <c r="B9" s="142" t="s">
        <v>52</v>
      </c>
      <c r="C9" s="275" t="str">
        <f>HYPERLINK("https://azurlane.koumakan.jp/Juneau","Juneau")</f>
        <v>Juneau</v>
      </c>
      <c r="D9" s="142" t="s">
        <v>36</v>
      </c>
      <c r="E9" s="145">
        <v>3598.0</v>
      </c>
      <c r="F9" s="145">
        <v>131.0</v>
      </c>
      <c r="G9" s="145">
        <v>159.0</v>
      </c>
      <c r="H9" s="145">
        <v>0.0</v>
      </c>
      <c r="I9" s="145">
        <v>431.0</v>
      </c>
      <c r="J9" s="145">
        <v>181.0</v>
      </c>
      <c r="K9" s="145">
        <v>112.0</v>
      </c>
      <c r="L9" s="145" t="s">
        <v>29</v>
      </c>
      <c r="M9" s="145">
        <v>32.0</v>
      </c>
      <c r="N9" s="145">
        <v>173.0</v>
      </c>
      <c r="O9" s="145">
        <v>18.0</v>
      </c>
      <c r="P9" s="145">
        <v>190.0</v>
      </c>
      <c r="Q9" s="145">
        <v>9.0</v>
      </c>
      <c r="R9" s="145">
        <v>0.0</v>
      </c>
      <c r="S9" s="145">
        <v>0.0</v>
      </c>
      <c r="T9" s="147" t="s">
        <v>37</v>
      </c>
      <c r="U9" s="161" t="s">
        <v>892</v>
      </c>
      <c r="V9" s="161" t="s">
        <v>590</v>
      </c>
      <c r="W9" s="149" t="s">
        <v>551</v>
      </c>
      <c r="X9" s="149" t="s">
        <v>890</v>
      </c>
      <c r="Y9" s="147" t="s">
        <v>677</v>
      </c>
      <c r="Z9" s="147" t="s">
        <v>557</v>
      </c>
      <c r="AA9" s="147" t="s">
        <v>11</v>
      </c>
      <c r="AB9" s="147" t="s">
        <v>891</v>
      </c>
      <c r="AC9" s="147">
        <v>1.0</v>
      </c>
      <c r="AD9" s="147">
        <v>2.0</v>
      </c>
      <c r="AE9" s="147">
        <v>1.0</v>
      </c>
      <c r="AF9" s="147">
        <v>1.0</v>
      </c>
    </row>
    <row r="10" ht="15.75" customHeight="1">
      <c r="A10" s="141">
        <v>36.0</v>
      </c>
      <c r="B10" s="142" t="s">
        <v>52</v>
      </c>
      <c r="C10" s="275" t="str">
        <f>HYPERLINK("https://azurlane.koumakan.jp/San_Diego","San Diego")</f>
        <v>San Diego</v>
      </c>
      <c r="D10" s="142" t="s">
        <v>32</v>
      </c>
      <c r="E10" s="145">
        <v>3842.0</v>
      </c>
      <c r="F10" s="145">
        <v>139.0</v>
      </c>
      <c r="G10" s="145">
        <v>170.0</v>
      </c>
      <c r="H10" s="145">
        <v>0.0</v>
      </c>
      <c r="I10" s="145">
        <v>458.0</v>
      </c>
      <c r="J10" s="145">
        <v>193.0</v>
      </c>
      <c r="K10" s="145">
        <v>112.0</v>
      </c>
      <c r="L10" s="145" t="s">
        <v>29</v>
      </c>
      <c r="M10" s="145">
        <v>32.0</v>
      </c>
      <c r="N10" s="145">
        <v>173.0</v>
      </c>
      <c r="O10" s="145">
        <v>85.0</v>
      </c>
      <c r="P10" s="145">
        <v>204.0</v>
      </c>
      <c r="Q10" s="145">
        <v>11.0</v>
      </c>
      <c r="R10" s="145">
        <v>0.0</v>
      </c>
      <c r="S10" s="145">
        <v>0.0</v>
      </c>
      <c r="T10" s="147" t="s">
        <v>37</v>
      </c>
      <c r="U10" s="148" t="s">
        <v>893</v>
      </c>
      <c r="V10" s="149" t="s">
        <v>551</v>
      </c>
      <c r="W10" s="149" t="s">
        <v>551</v>
      </c>
      <c r="X10" s="149" t="s">
        <v>894</v>
      </c>
      <c r="Y10" s="147" t="s">
        <v>677</v>
      </c>
      <c r="Z10" s="147" t="s">
        <v>557</v>
      </c>
      <c r="AA10" s="147" t="s">
        <v>11</v>
      </c>
      <c r="AB10" s="147" t="s">
        <v>895</v>
      </c>
      <c r="AC10" s="147">
        <v>1.0</v>
      </c>
      <c r="AD10" s="147">
        <v>2.0</v>
      </c>
      <c r="AE10" s="147">
        <v>1.0</v>
      </c>
      <c r="AF10" s="147">
        <v>1.0</v>
      </c>
    </row>
    <row r="11" ht="15.75" customHeight="1">
      <c r="A11" s="141">
        <v>36.1</v>
      </c>
      <c r="B11" s="142" t="s">
        <v>52</v>
      </c>
      <c r="C11" s="275" t="str">
        <f>HYPERLINK("https://azurlane.koumakan.jp/San_Diego#Retrofit","San Diego (R)")</f>
        <v>San Diego (R)</v>
      </c>
      <c r="D11" s="142" t="s">
        <v>34</v>
      </c>
      <c r="E11" s="158">
        <v>4082.0</v>
      </c>
      <c r="F11" s="145">
        <v>184.0</v>
      </c>
      <c r="G11" s="145">
        <v>170.0</v>
      </c>
      <c r="H11" s="145">
        <v>0.0</v>
      </c>
      <c r="I11" s="168">
        <v>568.0</v>
      </c>
      <c r="J11" s="168">
        <v>213.0</v>
      </c>
      <c r="K11" s="145">
        <v>112.0</v>
      </c>
      <c r="L11" s="145" t="s">
        <v>29</v>
      </c>
      <c r="M11" s="145">
        <v>32.0</v>
      </c>
      <c r="N11" s="145">
        <v>173.0</v>
      </c>
      <c r="O11" s="169">
        <v>85.0</v>
      </c>
      <c r="P11" s="145">
        <v>204.0</v>
      </c>
      <c r="Q11" s="145">
        <v>11.0</v>
      </c>
      <c r="R11" s="145">
        <v>0.0</v>
      </c>
      <c r="S11" s="145">
        <v>0.0</v>
      </c>
      <c r="T11" s="147" t="s">
        <v>37</v>
      </c>
      <c r="U11" s="148" t="s">
        <v>893</v>
      </c>
      <c r="V11" s="149" t="s">
        <v>551</v>
      </c>
      <c r="W11" s="164" t="s">
        <v>896</v>
      </c>
      <c r="X11" s="149" t="s">
        <v>897</v>
      </c>
      <c r="Y11" s="147" t="s">
        <v>677</v>
      </c>
      <c r="Z11" s="147" t="s">
        <v>557</v>
      </c>
      <c r="AA11" s="147" t="s">
        <v>11</v>
      </c>
      <c r="AB11" s="147" t="s">
        <v>1319</v>
      </c>
      <c r="AC11" s="147">
        <v>2.0</v>
      </c>
      <c r="AD11" s="147">
        <v>2.0</v>
      </c>
      <c r="AE11" s="147">
        <v>1.0</v>
      </c>
      <c r="AF11" s="147">
        <v>1.0</v>
      </c>
    </row>
    <row r="12" ht="15.75" customHeight="1">
      <c r="A12" s="141">
        <v>37.0</v>
      </c>
      <c r="B12" s="142" t="s">
        <v>52</v>
      </c>
      <c r="C12" s="275" t="str">
        <f>HYPERLINK("https://azurlane.koumakan.jp/Cleveland","Cleveland")</f>
        <v>Cleveland</v>
      </c>
      <c r="D12" s="142" t="s">
        <v>28</v>
      </c>
      <c r="E12" s="145">
        <v>4406.0</v>
      </c>
      <c r="F12" s="145">
        <v>167.0</v>
      </c>
      <c r="G12" s="145">
        <v>0.0</v>
      </c>
      <c r="H12" s="145">
        <v>0.0</v>
      </c>
      <c r="I12" s="145">
        <v>330.0</v>
      </c>
      <c r="J12" s="145">
        <v>191.0</v>
      </c>
      <c r="K12" s="145">
        <v>109.0</v>
      </c>
      <c r="L12" s="145" t="s">
        <v>29</v>
      </c>
      <c r="M12" s="145">
        <v>32.0</v>
      </c>
      <c r="N12" s="145">
        <v>168.0</v>
      </c>
      <c r="O12" s="145">
        <v>71.0</v>
      </c>
      <c r="P12" s="145">
        <v>102.0</v>
      </c>
      <c r="Q12" s="145">
        <v>10.0</v>
      </c>
      <c r="R12" s="145">
        <v>0.0</v>
      </c>
      <c r="S12" s="145">
        <v>0.0</v>
      </c>
      <c r="T12" s="147" t="s">
        <v>37</v>
      </c>
      <c r="U12" s="148" t="s">
        <v>899</v>
      </c>
      <c r="V12" s="161" t="s">
        <v>590</v>
      </c>
      <c r="W12" s="149" t="s">
        <v>551</v>
      </c>
      <c r="X12" s="149" t="s">
        <v>900</v>
      </c>
      <c r="Y12" s="147" t="s">
        <v>52</v>
      </c>
      <c r="Z12" s="147" t="s">
        <v>27</v>
      </c>
      <c r="AA12" s="147" t="s">
        <v>11</v>
      </c>
      <c r="AB12" s="147" t="s">
        <v>901</v>
      </c>
      <c r="AC12" s="147">
        <v>2.0</v>
      </c>
      <c r="AD12" s="147">
        <v>0.0</v>
      </c>
      <c r="AE12" s="147">
        <v>0.0</v>
      </c>
      <c r="AF12" s="147">
        <v>1.0</v>
      </c>
    </row>
    <row r="13" ht="15.75" customHeight="1">
      <c r="A13" s="141">
        <v>38.0</v>
      </c>
      <c r="B13" s="142" t="s">
        <v>52</v>
      </c>
      <c r="C13" s="275" t="str">
        <f>HYPERLINK("https://azurlane.koumakan.jp/Columbia","Columbia")</f>
        <v>Columbia</v>
      </c>
      <c r="D13" s="142" t="s">
        <v>28</v>
      </c>
      <c r="E13" s="145">
        <v>4406.0</v>
      </c>
      <c r="F13" s="145">
        <v>170.0</v>
      </c>
      <c r="G13" s="145">
        <v>0.0</v>
      </c>
      <c r="H13" s="145">
        <v>0.0</v>
      </c>
      <c r="I13" s="145">
        <v>330.0</v>
      </c>
      <c r="J13" s="145">
        <v>190.0</v>
      </c>
      <c r="K13" s="145">
        <v>109.0</v>
      </c>
      <c r="L13" s="145" t="s">
        <v>29</v>
      </c>
      <c r="M13" s="145">
        <v>32.0</v>
      </c>
      <c r="N13" s="145">
        <v>167.0</v>
      </c>
      <c r="O13" s="145">
        <v>70.0</v>
      </c>
      <c r="P13" s="145">
        <v>102.0</v>
      </c>
      <c r="Q13" s="145">
        <v>10.0</v>
      </c>
      <c r="R13" s="145">
        <v>0.0</v>
      </c>
      <c r="S13" s="145">
        <v>0.0</v>
      </c>
      <c r="T13" s="147" t="s">
        <v>37</v>
      </c>
      <c r="U13" s="148" t="s">
        <v>902</v>
      </c>
      <c r="V13" s="161" t="s">
        <v>590</v>
      </c>
      <c r="W13" s="149" t="s">
        <v>551</v>
      </c>
      <c r="X13" s="149" t="s">
        <v>900</v>
      </c>
      <c r="Y13" s="147" t="s">
        <v>52</v>
      </c>
      <c r="Z13" s="147" t="s">
        <v>27</v>
      </c>
      <c r="AA13" s="147" t="s">
        <v>11</v>
      </c>
      <c r="AB13" s="147" t="s">
        <v>901</v>
      </c>
      <c r="AC13" s="147">
        <v>2.0</v>
      </c>
      <c r="AD13" s="147">
        <v>0.0</v>
      </c>
      <c r="AE13" s="147">
        <v>0.0</v>
      </c>
      <c r="AF13" s="147">
        <v>1.0</v>
      </c>
    </row>
    <row r="14" ht="15.75" customHeight="1">
      <c r="A14" s="141">
        <v>39.0</v>
      </c>
      <c r="B14" s="142" t="s">
        <v>66</v>
      </c>
      <c r="C14" s="275" t="str">
        <f>HYPERLINK("https://azurlane.koumakan.jp/Pensacola","Pensacola")</f>
        <v>Pensacola</v>
      </c>
      <c r="D14" s="142" t="s">
        <v>40</v>
      </c>
      <c r="E14" s="145">
        <v>3366.0</v>
      </c>
      <c r="F14" s="145">
        <v>235.0</v>
      </c>
      <c r="G14" s="145">
        <v>0.0</v>
      </c>
      <c r="H14" s="145">
        <v>0.0</v>
      </c>
      <c r="I14" s="145">
        <v>202.0</v>
      </c>
      <c r="J14" s="145">
        <v>162.0</v>
      </c>
      <c r="K14" s="145">
        <v>57.0</v>
      </c>
      <c r="L14" s="145" t="s">
        <v>29</v>
      </c>
      <c r="M14" s="145">
        <v>26.0</v>
      </c>
      <c r="N14" s="145">
        <v>121.0</v>
      </c>
      <c r="O14" s="145">
        <v>75.0</v>
      </c>
      <c r="P14" s="145">
        <v>0.0</v>
      </c>
      <c r="Q14" s="145">
        <v>9.0</v>
      </c>
      <c r="R14" s="145">
        <v>0.0</v>
      </c>
      <c r="S14" s="145">
        <v>0.0</v>
      </c>
      <c r="T14" s="147" t="s">
        <v>37</v>
      </c>
      <c r="U14" s="148" t="s">
        <v>717</v>
      </c>
      <c r="V14" s="149" t="s">
        <v>551</v>
      </c>
      <c r="W14" s="149" t="s">
        <v>551</v>
      </c>
      <c r="X14" s="149" t="s">
        <v>1141</v>
      </c>
      <c r="Y14" s="147" t="s">
        <v>66</v>
      </c>
      <c r="Z14" s="147" t="s">
        <v>27</v>
      </c>
      <c r="AA14" s="147" t="s">
        <v>11</v>
      </c>
      <c r="AB14" s="147" t="s">
        <v>1142</v>
      </c>
      <c r="AC14" s="147">
        <v>2.0</v>
      </c>
      <c r="AD14" s="147">
        <v>0.0</v>
      </c>
      <c r="AE14" s="147">
        <v>0.0</v>
      </c>
      <c r="AF14" s="147">
        <v>1.0</v>
      </c>
    </row>
    <row r="15" ht="15.75" customHeight="1">
      <c r="A15" s="141">
        <v>40.0</v>
      </c>
      <c r="B15" s="142" t="s">
        <v>66</v>
      </c>
      <c r="C15" s="275" t="str">
        <f>HYPERLINK("https://azurlane.koumakan.jp/Salt_Lake_City","Salt Lake City")</f>
        <v>Salt Lake City</v>
      </c>
      <c r="D15" s="142" t="s">
        <v>40</v>
      </c>
      <c r="E15" s="145">
        <v>3366.0</v>
      </c>
      <c r="F15" s="145">
        <v>235.0</v>
      </c>
      <c r="G15" s="145">
        <v>0.0</v>
      </c>
      <c r="H15" s="145">
        <v>0.0</v>
      </c>
      <c r="I15" s="145">
        <v>202.0</v>
      </c>
      <c r="J15" s="145">
        <v>162.0</v>
      </c>
      <c r="K15" s="145">
        <v>57.0</v>
      </c>
      <c r="L15" s="145" t="s">
        <v>29</v>
      </c>
      <c r="M15" s="145">
        <v>26.0</v>
      </c>
      <c r="N15" s="145">
        <v>121.0</v>
      </c>
      <c r="O15" s="145">
        <v>71.0</v>
      </c>
      <c r="P15" s="145">
        <v>0.0</v>
      </c>
      <c r="Q15" s="145">
        <v>9.0</v>
      </c>
      <c r="R15" s="145">
        <v>0.0</v>
      </c>
      <c r="S15" s="145">
        <v>0.0</v>
      </c>
      <c r="T15" s="147" t="s">
        <v>37</v>
      </c>
      <c r="U15" s="164" t="s">
        <v>575</v>
      </c>
      <c r="V15" s="149" t="s">
        <v>551</v>
      </c>
      <c r="W15" s="149" t="s">
        <v>551</v>
      </c>
      <c r="X15" s="149" t="s">
        <v>1141</v>
      </c>
      <c r="Y15" s="147" t="s">
        <v>66</v>
      </c>
      <c r="Z15" s="147" t="s">
        <v>27</v>
      </c>
      <c r="AA15" s="147" t="s">
        <v>11</v>
      </c>
      <c r="AB15" s="147" t="s">
        <v>1142</v>
      </c>
      <c r="AC15" s="147">
        <v>2.0</v>
      </c>
      <c r="AD15" s="147">
        <v>0.0</v>
      </c>
      <c r="AE15" s="147">
        <v>0.0</v>
      </c>
      <c r="AF15" s="147">
        <v>1.0</v>
      </c>
    </row>
    <row r="16" ht="15.75" customHeight="1">
      <c r="A16" s="141">
        <v>41.0</v>
      </c>
      <c r="B16" s="142" t="s">
        <v>66</v>
      </c>
      <c r="C16" s="275" t="str">
        <f>HYPERLINK("https://azurlane.koumakan.jp/Northampton","Northampton")</f>
        <v>Northampton</v>
      </c>
      <c r="D16" s="142" t="s">
        <v>36</v>
      </c>
      <c r="E16" s="145">
        <v>3424.0</v>
      </c>
      <c r="F16" s="145">
        <v>243.0</v>
      </c>
      <c r="G16" s="145">
        <v>0.0</v>
      </c>
      <c r="H16" s="145">
        <v>0.0</v>
      </c>
      <c r="I16" s="145">
        <v>209.0</v>
      </c>
      <c r="J16" s="145">
        <v>169.0</v>
      </c>
      <c r="K16" s="145">
        <v>55.0</v>
      </c>
      <c r="L16" s="145" t="s">
        <v>29</v>
      </c>
      <c r="M16" s="145">
        <v>26.0</v>
      </c>
      <c r="N16" s="145">
        <v>125.0</v>
      </c>
      <c r="O16" s="145">
        <v>27.0</v>
      </c>
      <c r="P16" s="145">
        <v>0.0</v>
      </c>
      <c r="Q16" s="145">
        <v>10.0</v>
      </c>
      <c r="R16" s="145">
        <v>0.0</v>
      </c>
      <c r="S16" s="145">
        <v>0.0</v>
      </c>
      <c r="T16" s="147" t="s">
        <v>37</v>
      </c>
      <c r="U16" s="148" t="s">
        <v>881</v>
      </c>
      <c r="V16" s="149" t="s">
        <v>551</v>
      </c>
      <c r="W16" s="149" t="s">
        <v>551</v>
      </c>
      <c r="X16" s="149" t="s">
        <v>1143</v>
      </c>
      <c r="Y16" s="147" t="s">
        <v>66</v>
      </c>
      <c r="Z16" s="147" t="s">
        <v>27</v>
      </c>
      <c r="AA16" s="147" t="s">
        <v>11</v>
      </c>
      <c r="AB16" s="147" t="s">
        <v>1144</v>
      </c>
      <c r="AC16" s="147">
        <v>2.0</v>
      </c>
      <c r="AD16" s="147">
        <v>0.0</v>
      </c>
      <c r="AE16" s="147">
        <v>0.0</v>
      </c>
      <c r="AF16" s="147">
        <v>1.0</v>
      </c>
    </row>
    <row r="17" ht="15.75" customHeight="1">
      <c r="A17" s="141">
        <v>42.0</v>
      </c>
      <c r="B17" s="142" t="s">
        <v>66</v>
      </c>
      <c r="C17" s="275" t="str">
        <f>HYPERLINK("https://azurlane.koumakan.jp/Chicago","Chicago")</f>
        <v>Chicago</v>
      </c>
      <c r="D17" s="142" t="s">
        <v>36</v>
      </c>
      <c r="E17" s="145">
        <v>3471.0</v>
      </c>
      <c r="F17" s="145">
        <v>243.0</v>
      </c>
      <c r="G17" s="145">
        <v>0.0</v>
      </c>
      <c r="H17" s="145">
        <v>0.0</v>
      </c>
      <c r="I17" s="145">
        <v>209.0</v>
      </c>
      <c r="J17" s="145">
        <v>169.0</v>
      </c>
      <c r="K17" s="145">
        <v>55.0</v>
      </c>
      <c r="L17" s="145" t="s">
        <v>29</v>
      </c>
      <c r="M17" s="145">
        <v>26.0</v>
      </c>
      <c r="N17" s="145">
        <v>125.0</v>
      </c>
      <c r="O17" s="145">
        <v>32.0</v>
      </c>
      <c r="P17" s="145">
        <v>0.0</v>
      </c>
      <c r="Q17" s="145">
        <v>10.0</v>
      </c>
      <c r="R17" s="145">
        <v>0.0</v>
      </c>
      <c r="S17" s="145">
        <v>0.0</v>
      </c>
      <c r="T17" s="147" t="s">
        <v>37</v>
      </c>
      <c r="U17" s="164" t="s">
        <v>1145</v>
      </c>
      <c r="V17" s="149" t="s">
        <v>551</v>
      </c>
      <c r="W17" s="149" t="s">
        <v>551</v>
      </c>
      <c r="X17" s="149" t="s">
        <v>1143</v>
      </c>
      <c r="Y17" s="147" t="s">
        <v>66</v>
      </c>
      <c r="Z17" s="147" t="s">
        <v>27</v>
      </c>
      <c r="AA17" s="147" t="s">
        <v>11</v>
      </c>
      <c r="AB17" s="147" t="s">
        <v>1144</v>
      </c>
      <c r="AC17" s="147">
        <v>2.0</v>
      </c>
      <c r="AD17" s="147">
        <v>0.0</v>
      </c>
      <c r="AE17" s="147">
        <v>0.0</v>
      </c>
      <c r="AF17" s="147">
        <v>1.0</v>
      </c>
    </row>
    <row r="18" ht="15.75" customHeight="1">
      <c r="A18" s="141">
        <v>43.0</v>
      </c>
      <c r="B18" s="142" t="s">
        <v>66</v>
      </c>
      <c r="C18" s="275" t="str">
        <f>HYPERLINK("https://azurlane.koumakan.jp/Houston","Houston")</f>
        <v>Houston</v>
      </c>
      <c r="D18" s="142" t="s">
        <v>28</v>
      </c>
      <c r="E18" s="145">
        <v>3525.0</v>
      </c>
      <c r="F18" s="145">
        <v>250.0</v>
      </c>
      <c r="G18" s="145">
        <v>0.0</v>
      </c>
      <c r="H18" s="145">
        <v>0.0</v>
      </c>
      <c r="I18" s="145">
        <v>215.0</v>
      </c>
      <c r="J18" s="145">
        <v>174.0</v>
      </c>
      <c r="K18" s="145">
        <v>55.0</v>
      </c>
      <c r="L18" s="145" t="s">
        <v>29</v>
      </c>
      <c r="M18" s="145">
        <v>26.0</v>
      </c>
      <c r="N18" s="145">
        <v>125.0</v>
      </c>
      <c r="O18" s="145">
        <v>49.0</v>
      </c>
      <c r="P18" s="145">
        <v>0.0</v>
      </c>
      <c r="Q18" s="145">
        <v>11.0</v>
      </c>
      <c r="R18" s="145">
        <v>0.0</v>
      </c>
      <c r="S18" s="145">
        <v>0.0</v>
      </c>
      <c r="T18" s="147" t="s">
        <v>37</v>
      </c>
      <c r="U18" s="161" t="s">
        <v>1146</v>
      </c>
      <c r="V18" s="149" t="s">
        <v>551</v>
      </c>
      <c r="W18" s="149" t="s">
        <v>551</v>
      </c>
      <c r="X18" s="149" t="s">
        <v>1143</v>
      </c>
      <c r="Y18" s="147" t="s">
        <v>66</v>
      </c>
      <c r="Z18" s="147" t="s">
        <v>27</v>
      </c>
      <c r="AA18" s="147" t="s">
        <v>11</v>
      </c>
      <c r="AB18" s="147" t="s">
        <v>1144</v>
      </c>
      <c r="AC18" s="147">
        <v>2.0</v>
      </c>
      <c r="AD18" s="147">
        <v>0.0</v>
      </c>
      <c r="AE18" s="147">
        <v>0.0</v>
      </c>
      <c r="AF18" s="147">
        <v>1.0</v>
      </c>
    </row>
    <row r="19" ht="15.75" customHeight="1">
      <c r="A19" s="141">
        <v>44.0</v>
      </c>
      <c r="B19" s="142" t="s">
        <v>66</v>
      </c>
      <c r="C19" s="275" t="str">
        <f>HYPERLINK("https://azurlane.koumakan.jp/Portland","Portland")</f>
        <v>Portland</v>
      </c>
      <c r="D19" s="142" t="s">
        <v>36</v>
      </c>
      <c r="E19" s="145">
        <v>4671.0</v>
      </c>
      <c r="F19" s="145">
        <v>207.0</v>
      </c>
      <c r="G19" s="145">
        <v>0.0</v>
      </c>
      <c r="H19" s="145">
        <v>0.0</v>
      </c>
      <c r="I19" s="145">
        <v>251.0</v>
      </c>
      <c r="J19" s="145">
        <v>172.0</v>
      </c>
      <c r="K19" s="145">
        <v>61.0</v>
      </c>
      <c r="L19" s="145" t="s">
        <v>71</v>
      </c>
      <c r="M19" s="145">
        <v>26.0</v>
      </c>
      <c r="N19" s="145">
        <v>129.0</v>
      </c>
      <c r="O19" s="145">
        <v>78.0</v>
      </c>
      <c r="P19" s="145">
        <v>0.0</v>
      </c>
      <c r="Q19" s="145">
        <v>10.0</v>
      </c>
      <c r="R19" s="145">
        <v>0.0</v>
      </c>
      <c r="S19" s="145">
        <v>0.0</v>
      </c>
      <c r="T19" s="147" t="s">
        <v>37</v>
      </c>
      <c r="U19" s="164" t="s">
        <v>1147</v>
      </c>
      <c r="V19" s="148" t="s">
        <v>1148</v>
      </c>
      <c r="W19" s="149" t="s">
        <v>551</v>
      </c>
      <c r="X19" s="149" t="s">
        <v>1149</v>
      </c>
      <c r="Y19" s="147" t="s">
        <v>66</v>
      </c>
      <c r="Z19" s="147" t="s">
        <v>27</v>
      </c>
      <c r="AA19" s="147" t="s">
        <v>11</v>
      </c>
      <c r="AB19" s="147" t="s">
        <v>1150</v>
      </c>
      <c r="AC19" s="147">
        <v>2.0</v>
      </c>
      <c r="AD19" s="147">
        <v>0.0</v>
      </c>
      <c r="AE19" s="147">
        <v>0.0</v>
      </c>
      <c r="AF19" s="147">
        <v>1.0</v>
      </c>
    </row>
    <row r="20" ht="15.75" customHeight="1">
      <c r="A20" s="141">
        <v>44.1</v>
      </c>
      <c r="B20" s="142" t="s">
        <v>66</v>
      </c>
      <c r="C20" s="275" t="str">
        <f>HYPERLINK("https://azurlane.koumakan.jp/Portland#Retrofit","Portland (R)")</f>
        <v>Portland (R)</v>
      </c>
      <c r="D20" s="142" t="s">
        <v>28</v>
      </c>
      <c r="E20" s="158">
        <v>5461.0</v>
      </c>
      <c r="F20" s="145">
        <v>237.0</v>
      </c>
      <c r="G20" s="145">
        <v>0.0</v>
      </c>
      <c r="H20" s="145">
        <v>0.0</v>
      </c>
      <c r="I20" s="145">
        <v>266.0</v>
      </c>
      <c r="J20" s="145">
        <v>172.0</v>
      </c>
      <c r="K20" s="145">
        <v>81.0</v>
      </c>
      <c r="L20" s="145" t="s">
        <v>71</v>
      </c>
      <c r="M20" s="145">
        <v>26.0</v>
      </c>
      <c r="N20" s="145">
        <v>129.0</v>
      </c>
      <c r="O20" s="169">
        <v>78.0</v>
      </c>
      <c r="P20" s="145">
        <v>0.0</v>
      </c>
      <c r="Q20" s="145">
        <v>10.0</v>
      </c>
      <c r="R20" s="145">
        <v>0.0</v>
      </c>
      <c r="S20" s="145">
        <v>0.0</v>
      </c>
      <c r="T20" s="147" t="s">
        <v>37</v>
      </c>
      <c r="U20" s="164" t="s">
        <v>1147</v>
      </c>
      <c r="V20" s="148" t="s">
        <v>1148</v>
      </c>
      <c r="W20" s="149" t="s">
        <v>551</v>
      </c>
      <c r="X20" s="149" t="s">
        <v>1149</v>
      </c>
      <c r="Y20" s="147" t="s">
        <v>66</v>
      </c>
      <c r="Z20" s="147" t="s">
        <v>27</v>
      </c>
      <c r="AA20" s="147" t="s">
        <v>11</v>
      </c>
      <c r="AB20" s="147" t="s">
        <v>1151</v>
      </c>
      <c r="AC20" s="147">
        <v>2.0</v>
      </c>
      <c r="AD20" s="147">
        <v>0.0</v>
      </c>
      <c r="AE20" s="147">
        <v>0.0</v>
      </c>
      <c r="AF20" s="147">
        <v>1.0</v>
      </c>
    </row>
    <row r="21" ht="15.75" customHeight="1">
      <c r="A21" s="141">
        <v>45.0</v>
      </c>
      <c r="B21" s="142" t="s">
        <v>66</v>
      </c>
      <c r="C21" s="275" t="str">
        <f>HYPERLINK("https://azurlane.koumakan.jp/Indianapolis","Indianapolis")</f>
        <v>Indianapolis</v>
      </c>
      <c r="D21" s="142" t="s">
        <v>28</v>
      </c>
      <c r="E21" s="145">
        <v>4843.0</v>
      </c>
      <c r="F21" s="145">
        <v>213.0</v>
      </c>
      <c r="G21" s="145">
        <v>0.0</v>
      </c>
      <c r="H21" s="145">
        <v>0.0</v>
      </c>
      <c r="I21" s="145">
        <v>257.0</v>
      </c>
      <c r="J21" s="145">
        <v>177.0</v>
      </c>
      <c r="K21" s="145">
        <v>61.0</v>
      </c>
      <c r="L21" s="145" t="s">
        <v>71</v>
      </c>
      <c r="M21" s="145">
        <v>26.0</v>
      </c>
      <c r="N21" s="145">
        <v>129.0</v>
      </c>
      <c r="O21" s="145">
        <v>23.0</v>
      </c>
      <c r="P21" s="145">
        <v>0.0</v>
      </c>
      <c r="Q21" s="145">
        <v>11.0</v>
      </c>
      <c r="R21" s="145">
        <v>0.0</v>
      </c>
      <c r="S21" s="145">
        <v>0.0</v>
      </c>
      <c r="T21" s="147" t="s">
        <v>37</v>
      </c>
      <c r="U21" s="161" t="s">
        <v>1152</v>
      </c>
      <c r="V21" s="161" t="s">
        <v>1153</v>
      </c>
      <c r="W21" s="149" t="s">
        <v>551</v>
      </c>
      <c r="X21" s="149" t="s">
        <v>1149</v>
      </c>
      <c r="Y21" s="147" t="s">
        <v>66</v>
      </c>
      <c r="Z21" s="147" t="s">
        <v>27</v>
      </c>
      <c r="AA21" s="147" t="s">
        <v>11</v>
      </c>
      <c r="AB21" s="147" t="s">
        <v>1150</v>
      </c>
      <c r="AC21" s="147">
        <v>2.0</v>
      </c>
      <c r="AD21" s="147">
        <v>0.0</v>
      </c>
      <c r="AE21" s="147">
        <v>0.0</v>
      </c>
      <c r="AF21" s="147">
        <v>1.0</v>
      </c>
    </row>
    <row r="22" ht="15.75" customHeight="1">
      <c r="A22" s="141">
        <v>46.0</v>
      </c>
      <c r="B22" s="142" t="s">
        <v>66</v>
      </c>
      <c r="C22" s="275" t="str">
        <f>HYPERLINK("https://azurlane.koumakan.jp/Astoria","Astoria")</f>
        <v>Astoria</v>
      </c>
      <c r="D22" s="142" t="s">
        <v>28</v>
      </c>
      <c r="E22" s="145">
        <v>3971.0</v>
      </c>
      <c r="F22" s="145">
        <v>221.0</v>
      </c>
      <c r="G22" s="145">
        <v>0.0</v>
      </c>
      <c r="H22" s="145">
        <v>0.0</v>
      </c>
      <c r="I22" s="145">
        <v>231.0</v>
      </c>
      <c r="J22" s="145">
        <v>163.0</v>
      </c>
      <c r="K22" s="145">
        <v>59.0</v>
      </c>
      <c r="L22" s="145" t="s">
        <v>71</v>
      </c>
      <c r="M22" s="145">
        <v>26.0</v>
      </c>
      <c r="N22" s="145">
        <v>125.0</v>
      </c>
      <c r="O22" s="145">
        <v>15.0</v>
      </c>
      <c r="P22" s="145">
        <v>0.0</v>
      </c>
      <c r="Q22" s="145">
        <v>11.0</v>
      </c>
      <c r="R22" s="145">
        <v>0.0</v>
      </c>
      <c r="S22" s="145">
        <v>0.0</v>
      </c>
      <c r="T22" s="147" t="s">
        <v>37</v>
      </c>
      <c r="U22" s="148" t="s">
        <v>1154</v>
      </c>
      <c r="V22" s="161" t="s">
        <v>1155</v>
      </c>
      <c r="W22" s="149" t="s">
        <v>551</v>
      </c>
      <c r="X22" s="149" t="s">
        <v>1156</v>
      </c>
      <c r="Y22" s="147" t="s">
        <v>66</v>
      </c>
      <c r="Z22" s="147" t="s">
        <v>27</v>
      </c>
      <c r="AA22" s="147" t="s">
        <v>11</v>
      </c>
      <c r="AB22" s="147" t="s">
        <v>1157</v>
      </c>
      <c r="AC22" s="147">
        <v>2.0</v>
      </c>
      <c r="AD22" s="147">
        <v>0.0</v>
      </c>
      <c r="AE22" s="147">
        <v>0.0</v>
      </c>
      <c r="AF22" s="147">
        <v>1.0</v>
      </c>
    </row>
    <row r="23" ht="15.75" customHeight="1">
      <c r="A23" s="141">
        <v>47.0</v>
      </c>
      <c r="B23" s="142" t="s">
        <v>66</v>
      </c>
      <c r="C23" s="275" t="str">
        <f>HYPERLINK("https://azurlane.koumakan.jp/Quincy","Quincy")</f>
        <v>Quincy</v>
      </c>
      <c r="D23" s="142" t="s">
        <v>28</v>
      </c>
      <c r="E23" s="165">
        <v>4107.0</v>
      </c>
      <c r="F23" s="145">
        <v>221.0</v>
      </c>
      <c r="G23" s="145">
        <v>0.0</v>
      </c>
      <c r="H23" s="145">
        <v>0.0</v>
      </c>
      <c r="I23" s="145">
        <v>235.0</v>
      </c>
      <c r="J23" s="145">
        <v>163.0</v>
      </c>
      <c r="K23" s="145">
        <v>59.0</v>
      </c>
      <c r="L23" s="145" t="s">
        <v>71</v>
      </c>
      <c r="M23" s="145">
        <v>26.0</v>
      </c>
      <c r="N23" s="145">
        <v>129.0</v>
      </c>
      <c r="O23" s="145">
        <v>9.0</v>
      </c>
      <c r="P23" s="145">
        <v>0.0</v>
      </c>
      <c r="Q23" s="145">
        <v>11.0</v>
      </c>
      <c r="R23" s="145">
        <v>0.0</v>
      </c>
      <c r="S23" s="145">
        <v>0.0</v>
      </c>
      <c r="T23" s="147" t="s">
        <v>37</v>
      </c>
      <c r="U23" s="164" t="s">
        <v>575</v>
      </c>
      <c r="V23" s="161" t="s">
        <v>1155</v>
      </c>
      <c r="W23" s="149" t="s">
        <v>551</v>
      </c>
      <c r="X23" s="149" t="s">
        <v>1156</v>
      </c>
      <c r="Y23" s="147" t="s">
        <v>66</v>
      </c>
      <c r="Z23" s="147" t="s">
        <v>27</v>
      </c>
      <c r="AA23" s="147" t="s">
        <v>11</v>
      </c>
      <c r="AB23" s="147" t="s">
        <v>1157</v>
      </c>
      <c r="AC23" s="147">
        <v>2.0</v>
      </c>
      <c r="AD23" s="147">
        <v>0.0</v>
      </c>
      <c r="AE23" s="147">
        <v>0.0</v>
      </c>
      <c r="AF23" s="147">
        <v>1.0</v>
      </c>
    </row>
    <row r="24" ht="15.75" customHeight="1">
      <c r="A24" s="141">
        <v>48.0</v>
      </c>
      <c r="B24" s="142" t="s">
        <v>66</v>
      </c>
      <c r="C24" s="275" t="str">
        <f>HYPERLINK("https://azurlane.koumakan.jp/Vincennes","Vincennes")</f>
        <v>Vincennes</v>
      </c>
      <c r="D24" s="142" t="s">
        <v>28</v>
      </c>
      <c r="E24" s="165">
        <v>4107.0</v>
      </c>
      <c r="F24" s="145">
        <v>221.0</v>
      </c>
      <c r="G24" s="145">
        <v>0.0</v>
      </c>
      <c r="H24" s="145">
        <v>0.0</v>
      </c>
      <c r="I24" s="145">
        <v>235.0</v>
      </c>
      <c r="J24" s="145">
        <v>163.0</v>
      </c>
      <c r="K24" s="145">
        <v>59.0</v>
      </c>
      <c r="L24" s="145" t="s">
        <v>71</v>
      </c>
      <c r="M24" s="145">
        <v>26.0</v>
      </c>
      <c r="N24" s="145">
        <v>125.0</v>
      </c>
      <c r="O24" s="145">
        <v>12.0</v>
      </c>
      <c r="P24" s="145">
        <v>0.0</v>
      </c>
      <c r="Q24" s="145">
        <v>11.0</v>
      </c>
      <c r="R24" s="145">
        <v>0.0</v>
      </c>
      <c r="S24" s="145">
        <v>0.0</v>
      </c>
      <c r="T24" s="147" t="s">
        <v>37</v>
      </c>
      <c r="U24" s="164" t="s">
        <v>575</v>
      </c>
      <c r="V24" s="161" t="s">
        <v>1155</v>
      </c>
      <c r="W24" s="149" t="s">
        <v>551</v>
      </c>
      <c r="X24" s="149" t="s">
        <v>1156</v>
      </c>
      <c r="Y24" s="147" t="s">
        <v>66</v>
      </c>
      <c r="Z24" s="147" t="s">
        <v>27</v>
      </c>
      <c r="AA24" s="147" t="s">
        <v>11</v>
      </c>
      <c r="AB24" s="147" t="s">
        <v>1157</v>
      </c>
      <c r="AC24" s="147">
        <v>2.0</v>
      </c>
      <c r="AD24" s="147">
        <v>0.0</v>
      </c>
      <c r="AE24" s="147">
        <v>0.0</v>
      </c>
      <c r="AF24" s="147">
        <v>1.0</v>
      </c>
    </row>
    <row r="25" ht="15.75" customHeight="1">
      <c r="A25" s="141">
        <v>49.0</v>
      </c>
      <c r="B25" s="142" t="s">
        <v>66</v>
      </c>
      <c r="C25" s="275" t="str">
        <f>HYPERLINK("https://azurlane.koumakan.jp/Wichita","Wichita")</f>
        <v>Wichita</v>
      </c>
      <c r="D25" s="142" t="s">
        <v>28</v>
      </c>
      <c r="E25" s="165">
        <v>3795.0</v>
      </c>
      <c r="F25" s="145">
        <v>271.0</v>
      </c>
      <c r="G25" s="145">
        <v>0.0</v>
      </c>
      <c r="H25" s="145">
        <v>0.0</v>
      </c>
      <c r="I25" s="145">
        <v>227.0</v>
      </c>
      <c r="J25" s="145">
        <v>182.0</v>
      </c>
      <c r="K25" s="145">
        <v>51.0</v>
      </c>
      <c r="L25" s="145" t="s">
        <v>29</v>
      </c>
      <c r="M25" s="145">
        <v>26.0</v>
      </c>
      <c r="N25" s="145">
        <v>135.0</v>
      </c>
      <c r="O25" s="145">
        <v>70.0</v>
      </c>
      <c r="P25" s="145">
        <v>0.0</v>
      </c>
      <c r="Q25" s="145">
        <v>11.0</v>
      </c>
      <c r="R25" s="145">
        <v>0.0</v>
      </c>
      <c r="S25" s="145">
        <v>0.0</v>
      </c>
      <c r="T25" s="147" t="s">
        <v>37</v>
      </c>
      <c r="U25" s="148" t="s">
        <v>881</v>
      </c>
      <c r="V25" s="164" t="s">
        <v>1158</v>
      </c>
      <c r="W25" s="149" t="s">
        <v>551</v>
      </c>
      <c r="X25" s="149" t="s">
        <v>1159</v>
      </c>
      <c r="Y25" s="147" t="s">
        <v>66</v>
      </c>
      <c r="Z25" s="147" t="s">
        <v>27</v>
      </c>
      <c r="AA25" s="147" t="s">
        <v>11</v>
      </c>
      <c r="AB25" s="147" t="s">
        <v>1160</v>
      </c>
      <c r="AC25" s="147">
        <v>2.0</v>
      </c>
      <c r="AD25" s="147">
        <v>0.0</v>
      </c>
      <c r="AE25" s="147">
        <v>0.0</v>
      </c>
      <c r="AF25" s="147">
        <v>1.0</v>
      </c>
    </row>
    <row r="26" ht="15.75" customHeight="1">
      <c r="A26" s="182">
        <v>50.0</v>
      </c>
      <c r="B26" s="183" t="s">
        <v>66</v>
      </c>
      <c r="C26" s="264" t="str">
        <f>HYPERLINK("https://azurlane.koumakan.jp/Baltimore","Baltimore")</f>
        <v>Baltimore</v>
      </c>
      <c r="D26" s="170" t="s">
        <v>32</v>
      </c>
      <c r="E26" s="191">
        <v>4697.0</v>
      </c>
      <c r="F26" s="170">
        <v>274.0</v>
      </c>
      <c r="G26" s="170">
        <v>0.0</v>
      </c>
      <c r="H26" s="170">
        <v>0.0</v>
      </c>
      <c r="I26" s="170">
        <v>266.0</v>
      </c>
      <c r="J26" s="170">
        <v>186.0</v>
      </c>
      <c r="K26" s="170">
        <v>59.0</v>
      </c>
      <c r="L26" s="170" t="s">
        <v>71</v>
      </c>
      <c r="M26" s="170">
        <v>26.0</v>
      </c>
      <c r="N26" s="170">
        <v>139.0</v>
      </c>
      <c r="O26" s="170">
        <v>56.0</v>
      </c>
      <c r="P26" s="170">
        <v>0.0</v>
      </c>
      <c r="Q26" s="170">
        <v>12.0</v>
      </c>
      <c r="R26" s="170">
        <v>0.0</v>
      </c>
      <c r="S26" s="170">
        <v>0.0</v>
      </c>
      <c r="T26" s="147" t="s">
        <v>37</v>
      </c>
      <c r="U26" s="193" t="s">
        <v>1161</v>
      </c>
      <c r="V26" s="172" t="s">
        <v>1162</v>
      </c>
      <c r="W26" s="153" t="s">
        <v>551</v>
      </c>
      <c r="X26" s="153" t="s">
        <v>1163</v>
      </c>
      <c r="Y26" s="147" t="s">
        <v>66</v>
      </c>
      <c r="Z26" s="147" t="s">
        <v>27</v>
      </c>
      <c r="AA26" s="147" t="s">
        <v>11</v>
      </c>
      <c r="AB26" s="228" t="s">
        <v>1164</v>
      </c>
      <c r="AC26" s="153">
        <v>2.0</v>
      </c>
      <c r="AD26" s="153">
        <v>0.0</v>
      </c>
      <c r="AE26" s="153">
        <v>0.0</v>
      </c>
      <c r="AF26" s="153">
        <v>1.0</v>
      </c>
    </row>
    <row r="27" ht="15.75" customHeight="1">
      <c r="A27" s="141">
        <v>104.0</v>
      </c>
      <c r="B27" s="142" t="s">
        <v>52</v>
      </c>
      <c r="C27" s="275" t="str">
        <f>HYPERLINK("https://azurlane.koumakan.jp/Leander","Leander")</f>
        <v>Leander</v>
      </c>
      <c r="D27" s="142" t="s">
        <v>40</v>
      </c>
      <c r="E27" s="165">
        <v>3322.0</v>
      </c>
      <c r="F27" s="145">
        <v>148.0</v>
      </c>
      <c r="G27" s="145">
        <v>274.0</v>
      </c>
      <c r="H27" s="145">
        <v>0.0</v>
      </c>
      <c r="I27" s="145">
        <v>328.0</v>
      </c>
      <c r="J27" s="145">
        <v>174.0</v>
      </c>
      <c r="K27" s="145">
        <v>128.0</v>
      </c>
      <c r="L27" s="145" t="s">
        <v>29</v>
      </c>
      <c r="M27" s="145">
        <v>32.0</v>
      </c>
      <c r="N27" s="145">
        <v>149.0</v>
      </c>
      <c r="O27" s="145">
        <v>44.0</v>
      </c>
      <c r="P27" s="145">
        <v>127.0</v>
      </c>
      <c r="Q27" s="145">
        <v>8.0</v>
      </c>
      <c r="R27" s="145">
        <v>0.0</v>
      </c>
      <c r="S27" s="145">
        <v>0.0</v>
      </c>
      <c r="T27" s="147" t="s">
        <v>104</v>
      </c>
      <c r="U27" s="148" t="s">
        <v>881</v>
      </c>
      <c r="V27" s="149" t="s">
        <v>551</v>
      </c>
      <c r="W27" s="149" t="s">
        <v>551</v>
      </c>
      <c r="X27" s="149" t="s">
        <v>903</v>
      </c>
      <c r="Y27" s="147" t="s">
        <v>52</v>
      </c>
      <c r="Z27" s="147" t="s">
        <v>557</v>
      </c>
      <c r="AA27" s="147" t="s">
        <v>11</v>
      </c>
      <c r="AB27" s="147" t="s">
        <v>904</v>
      </c>
      <c r="AC27" s="147">
        <v>1.0</v>
      </c>
      <c r="AD27" s="147">
        <v>2.0</v>
      </c>
      <c r="AE27" s="147">
        <v>1.0</v>
      </c>
      <c r="AF27" s="147">
        <v>1.0</v>
      </c>
    </row>
    <row r="28" ht="15.75" customHeight="1">
      <c r="A28" s="141">
        <v>104.1</v>
      </c>
      <c r="B28" s="142" t="s">
        <v>52</v>
      </c>
      <c r="C28" s="275" t="str">
        <f>HYPERLINK("https://azurlane.koumakan.jp/Leander#Retrofit","Leander (R)")</f>
        <v>Leander (R)</v>
      </c>
      <c r="D28" s="142" t="s">
        <v>36</v>
      </c>
      <c r="E28" s="144">
        <v>3562.0</v>
      </c>
      <c r="F28" s="145">
        <v>198.0</v>
      </c>
      <c r="G28" s="145">
        <v>309.0</v>
      </c>
      <c r="H28" s="145">
        <v>0.0</v>
      </c>
      <c r="I28" s="145">
        <v>328.0</v>
      </c>
      <c r="J28" s="145">
        <v>179.0</v>
      </c>
      <c r="K28" s="145">
        <v>128.0</v>
      </c>
      <c r="L28" s="145" t="s">
        <v>29</v>
      </c>
      <c r="M28" s="145">
        <v>32.0</v>
      </c>
      <c r="N28" s="145">
        <v>149.0</v>
      </c>
      <c r="O28" s="169">
        <v>44.0</v>
      </c>
      <c r="P28" s="145">
        <v>127.0</v>
      </c>
      <c r="Q28" s="145">
        <v>8.0</v>
      </c>
      <c r="R28" s="145">
        <v>0.0</v>
      </c>
      <c r="S28" s="145">
        <v>0.0</v>
      </c>
      <c r="T28" s="147" t="s">
        <v>104</v>
      </c>
      <c r="U28" s="148" t="s">
        <v>881</v>
      </c>
      <c r="V28" s="149" t="s">
        <v>551</v>
      </c>
      <c r="W28" s="161" t="s">
        <v>587</v>
      </c>
      <c r="X28" s="149" t="s">
        <v>903</v>
      </c>
      <c r="Y28" s="147" t="s">
        <v>52</v>
      </c>
      <c r="Z28" s="147" t="s">
        <v>557</v>
      </c>
      <c r="AA28" s="147" t="s">
        <v>11</v>
      </c>
      <c r="AB28" s="147" t="s">
        <v>905</v>
      </c>
      <c r="AC28" s="147">
        <v>1.0</v>
      </c>
      <c r="AD28" s="147">
        <v>2.0</v>
      </c>
      <c r="AE28" s="147">
        <v>1.0</v>
      </c>
      <c r="AF28" s="147">
        <v>1.0</v>
      </c>
    </row>
    <row r="29" ht="15.75" customHeight="1">
      <c r="A29" s="141">
        <v>105.0</v>
      </c>
      <c r="B29" s="142" t="s">
        <v>52</v>
      </c>
      <c r="C29" s="275" t="str">
        <f>HYPERLINK("https://azurlane.koumakan.jp/Achilles","Achilles")</f>
        <v>Achilles</v>
      </c>
      <c r="D29" s="142" t="s">
        <v>36</v>
      </c>
      <c r="E29" s="165">
        <v>3044.0</v>
      </c>
      <c r="F29" s="145">
        <v>166.0</v>
      </c>
      <c r="G29" s="145">
        <v>328.0</v>
      </c>
      <c r="H29" s="145">
        <v>0.0</v>
      </c>
      <c r="I29" s="145">
        <v>301.0</v>
      </c>
      <c r="J29" s="145">
        <v>177.0</v>
      </c>
      <c r="K29" s="145">
        <v>114.0</v>
      </c>
      <c r="L29" s="145" t="s">
        <v>29</v>
      </c>
      <c r="M29" s="145">
        <v>32.0</v>
      </c>
      <c r="N29" s="145">
        <v>152.0</v>
      </c>
      <c r="O29" s="145">
        <v>54.0</v>
      </c>
      <c r="P29" s="145">
        <v>130.0</v>
      </c>
      <c r="Q29" s="145">
        <v>9.0</v>
      </c>
      <c r="R29" s="145">
        <v>0.0</v>
      </c>
      <c r="S29" s="145">
        <v>0.0</v>
      </c>
      <c r="T29" s="147" t="s">
        <v>104</v>
      </c>
      <c r="U29" s="164" t="s">
        <v>575</v>
      </c>
      <c r="V29" s="149" t="s">
        <v>551</v>
      </c>
      <c r="W29" s="149" t="s">
        <v>551</v>
      </c>
      <c r="X29" s="149" t="s">
        <v>903</v>
      </c>
      <c r="Y29" s="147" t="s">
        <v>52</v>
      </c>
      <c r="Z29" s="147" t="s">
        <v>557</v>
      </c>
      <c r="AA29" s="147" t="s">
        <v>11</v>
      </c>
      <c r="AB29" s="147" t="s">
        <v>906</v>
      </c>
      <c r="AC29" s="147">
        <v>1.0</v>
      </c>
      <c r="AD29" s="147">
        <v>2.0</v>
      </c>
      <c r="AE29" s="147">
        <v>1.0</v>
      </c>
      <c r="AF29" s="147">
        <v>1.0</v>
      </c>
    </row>
    <row r="30" ht="15.75" customHeight="1">
      <c r="A30" s="141">
        <v>105.1</v>
      </c>
      <c r="B30" s="142" t="s">
        <v>52</v>
      </c>
      <c r="C30" s="275" t="str">
        <f>HYPERLINK("https://azurlane.koumakan.jp/Achilles#Retrofit","Achilles (R)")</f>
        <v>Achilles (R)</v>
      </c>
      <c r="D30" s="142" t="s">
        <v>28</v>
      </c>
      <c r="E30" s="144">
        <v>3284.0</v>
      </c>
      <c r="F30" s="145">
        <v>216.0</v>
      </c>
      <c r="G30" s="145">
        <v>363.0</v>
      </c>
      <c r="H30" s="145">
        <v>0.0</v>
      </c>
      <c r="I30" s="145">
        <v>301.0</v>
      </c>
      <c r="J30" s="145">
        <v>182.0</v>
      </c>
      <c r="K30" s="145">
        <v>114.0</v>
      </c>
      <c r="L30" s="145" t="s">
        <v>29</v>
      </c>
      <c r="M30" s="145">
        <v>32.0</v>
      </c>
      <c r="N30" s="145">
        <v>152.0</v>
      </c>
      <c r="O30" s="169">
        <v>54.0</v>
      </c>
      <c r="P30" s="145">
        <v>130.0</v>
      </c>
      <c r="Q30" s="145">
        <v>9.0</v>
      </c>
      <c r="R30" s="145">
        <v>0.0</v>
      </c>
      <c r="S30" s="145">
        <v>0.0</v>
      </c>
      <c r="T30" s="147" t="s">
        <v>104</v>
      </c>
      <c r="U30" s="164" t="s">
        <v>575</v>
      </c>
      <c r="V30" s="149" t="s">
        <v>551</v>
      </c>
      <c r="W30" s="164" t="s">
        <v>907</v>
      </c>
      <c r="X30" s="149" t="s">
        <v>903</v>
      </c>
      <c r="Y30" s="147" t="s">
        <v>52</v>
      </c>
      <c r="Z30" s="147" t="s">
        <v>557</v>
      </c>
      <c r="AA30" s="147" t="s">
        <v>11</v>
      </c>
      <c r="AB30" s="147" t="s">
        <v>1320</v>
      </c>
      <c r="AC30" s="147">
        <v>1.0</v>
      </c>
      <c r="AD30" s="147">
        <v>2.0</v>
      </c>
      <c r="AE30" s="147">
        <v>1.0</v>
      </c>
      <c r="AF30" s="147">
        <v>1.0</v>
      </c>
    </row>
    <row r="31" ht="15.75" customHeight="1">
      <c r="A31" s="141">
        <v>106.0</v>
      </c>
      <c r="B31" s="142" t="s">
        <v>52</v>
      </c>
      <c r="C31" s="275" t="str">
        <f>HYPERLINK("https://azurlane.koumakan.jp/Ajax","Ajax")</f>
        <v>Ajax</v>
      </c>
      <c r="D31" s="142" t="s">
        <v>36</v>
      </c>
      <c r="E31" s="165">
        <v>3044.0</v>
      </c>
      <c r="F31" s="145">
        <v>166.0</v>
      </c>
      <c r="G31" s="145">
        <v>328.0</v>
      </c>
      <c r="H31" s="145">
        <v>0.0</v>
      </c>
      <c r="I31" s="145">
        <v>301.0</v>
      </c>
      <c r="J31" s="145">
        <v>177.0</v>
      </c>
      <c r="K31" s="145">
        <v>114.0</v>
      </c>
      <c r="L31" s="145" t="s">
        <v>29</v>
      </c>
      <c r="M31" s="145">
        <v>32.0</v>
      </c>
      <c r="N31" s="145">
        <v>152.0</v>
      </c>
      <c r="O31" s="145">
        <v>74.0</v>
      </c>
      <c r="P31" s="145">
        <v>130.0</v>
      </c>
      <c r="Q31" s="145">
        <v>9.0</v>
      </c>
      <c r="R31" s="145">
        <v>0.0</v>
      </c>
      <c r="S31" s="145">
        <v>0.0</v>
      </c>
      <c r="T31" s="147" t="s">
        <v>104</v>
      </c>
      <c r="U31" s="164" t="s">
        <v>575</v>
      </c>
      <c r="V31" s="149" t="s">
        <v>551</v>
      </c>
      <c r="W31" s="149" t="s">
        <v>551</v>
      </c>
      <c r="X31" s="149" t="s">
        <v>903</v>
      </c>
      <c r="Y31" s="147" t="s">
        <v>52</v>
      </c>
      <c r="Z31" s="147" t="s">
        <v>557</v>
      </c>
      <c r="AA31" s="147" t="s">
        <v>11</v>
      </c>
      <c r="AB31" s="147" t="s">
        <v>906</v>
      </c>
      <c r="AC31" s="147">
        <v>1.0</v>
      </c>
      <c r="AD31" s="147">
        <v>2.0</v>
      </c>
      <c r="AE31" s="147">
        <v>1.0</v>
      </c>
      <c r="AF31" s="147">
        <v>1.0</v>
      </c>
    </row>
    <row r="32" ht="15.75" customHeight="1">
      <c r="A32" s="141">
        <v>106.1</v>
      </c>
      <c r="B32" s="142" t="s">
        <v>52</v>
      </c>
      <c r="C32" s="275" t="str">
        <f>HYPERLINK("https://azurlane.koumakan.jp/Ajax#Retrofit","Ajax (R)")</f>
        <v>Ajax (R)</v>
      </c>
      <c r="D32" s="142" t="s">
        <v>28</v>
      </c>
      <c r="E32" s="144">
        <v>3284.0</v>
      </c>
      <c r="F32" s="145">
        <v>216.0</v>
      </c>
      <c r="G32" s="145">
        <v>363.0</v>
      </c>
      <c r="H32" s="145">
        <v>0.0</v>
      </c>
      <c r="I32" s="145">
        <v>301.0</v>
      </c>
      <c r="J32" s="145">
        <v>182.0</v>
      </c>
      <c r="K32" s="145">
        <v>114.0</v>
      </c>
      <c r="L32" s="145" t="s">
        <v>29</v>
      </c>
      <c r="M32" s="145">
        <v>32.0</v>
      </c>
      <c r="N32" s="145">
        <v>152.0</v>
      </c>
      <c r="O32" s="169">
        <v>74.0</v>
      </c>
      <c r="P32" s="145">
        <v>130.0</v>
      </c>
      <c r="Q32" s="145">
        <v>9.0</v>
      </c>
      <c r="R32" s="145">
        <v>0.0</v>
      </c>
      <c r="S32" s="145">
        <v>0.0</v>
      </c>
      <c r="T32" s="147" t="s">
        <v>104</v>
      </c>
      <c r="U32" s="164" t="s">
        <v>575</v>
      </c>
      <c r="V32" s="149" t="s">
        <v>551</v>
      </c>
      <c r="W32" s="164" t="s">
        <v>907</v>
      </c>
      <c r="X32" s="149" t="s">
        <v>903</v>
      </c>
      <c r="Y32" s="147" t="s">
        <v>52</v>
      </c>
      <c r="Z32" s="147" t="s">
        <v>557</v>
      </c>
      <c r="AA32" s="147" t="s">
        <v>11</v>
      </c>
      <c r="AB32" s="147" t="s">
        <v>1320</v>
      </c>
      <c r="AC32" s="147">
        <v>1.0</v>
      </c>
      <c r="AD32" s="147">
        <v>2.0</v>
      </c>
      <c r="AE32" s="147">
        <v>1.0</v>
      </c>
      <c r="AF32" s="147">
        <v>1.0</v>
      </c>
    </row>
    <row r="33" ht="15.75" customHeight="1">
      <c r="A33" s="182">
        <v>107.0</v>
      </c>
      <c r="B33" s="183" t="s">
        <v>52</v>
      </c>
      <c r="C33" s="264" t="str">
        <f>HYPERLINK("https://azurlane.koumakan.jp/Dido","Dido")</f>
        <v>Dido</v>
      </c>
      <c r="D33" s="170" t="s">
        <v>32</v>
      </c>
      <c r="E33" s="191">
        <v>3831.0</v>
      </c>
      <c r="F33" s="170">
        <v>160.0</v>
      </c>
      <c r="G33" s="170">
        <v>180.0</v>
      </c>
      <c r="H33" s="170">
        <v>0.0</v>
      </c>
      <c r="I33" s="170">
        <v>396.0</v>
      </c>
      <c r="J33" s="170">
        <v>196.0</v>
      </c>
      <c r="K33" s="170">
        <v>114.0</v>
      </c>
      <c r="L33" s="170" t="s">
        <v>29</v>
      </c>
      <c r="M33" s="170">
        <v>32.0</v>
      </c>
      <c r="N33" s="170">
        <v>164.0</v>
      </c>
      <c r="O33" s="170">
        <v>85.0</v>
      </c>
      <c r="P33" s="170">
        <v>171.0</v>
      </c>
      <c r="Q33" s="170">
        <v>11.0</v>
      </c>
      <c r="R33" s="170">
        <v>0.0</v>
      </c>
      <c r="S33" s="170">
        <v>0.0</v>
      </c>
      <c r="T33" s="170" t="s">
        <v>104</v>
      </c>
      <c r="U33" s="172" t="s">
        <v>910</v>
      </c>
      <c r="V33" s="172" t="s">
        <v>911</v>
      </c>
      <c r="W33" s="170" t="s">
        <v>551</v>
      </c>
      <c r="X33" s="170" t="s">
        <v>912</v>
      </c>
      <c r="Y33" s="170" t="s">
        <v>677</v>
      </c>
      <c r="Z33" s="170" t="s">
        <v>557</v>
      </c>
      <c r="AA33" s="170" t="s">
        <v>11</v>
      </c>
      <c r="AB33" s="170" t="s">
        <v>913</v>
      </c>
      <c r="AC33" s="170">
        <v>1.0</v>
      </c>
      <c r="AD33" s="170">
        <v>2.0</v>
      </c>
      <c r="AE33" s="170">
        <v>1.0</v>
      </c>
      <c r="AF33" s="170">
        <v>1.0</v>
      </c>
    </row>
    <row r="34" ht="15.75" customHeight="1">
      <c r="A34" s="182">
        <v>110.0</v>
      </c>
      <c r="B34" s="183" t="s">
        <v>52</v>
      </c>
      <c r="C34" s="264" t="str">
        <f>HYPERLINK("https://azurlane.koumakan.jp/Southampton","Southampton")</f>
        <v>Southampton</v>
      </c>
      <c r="D34" s="170" t="s">
        <v>36</v>
      </c>
      <c r="E34" s="191">
        <v>3773.0</v>
      </c>
      <c r="F34" s="170">
        <v>153.0</v>
      </c>
      <c r="G34" s="170">
        <v>276.0</v>
      </c>
      <c r="H34" s="170">
        <v>0.0</v>
      </c>
      <c r="I34" s="170">
        <v>314.0</v>
      </c>
      <c r="J34" s="170">
        <v>174.0</v>
      </c>
      <c r="K34" s="170">
        <v>119.0</v>
      </c>
      <c r="L34" s="170" t="s">
        <v>29</v>
      </c>
      <c r="M34" s="170">
        <v>32.0</v>
      </c>
      <c r="N34" s="170">
        <v>161.0</v>
      </c>
      <c r="O34" s="170">
        <v>32.0</v>
      </c>
      <c r="P34" s="170">
        <v>105.0</v>
      </c>
      <c r="Q34" s="170">
        <v>9.0</v>
      </c>
      <c r="R34" s="170">
        <v>0.0</v>
      </c>
      <c r="S34" s="170">
        <v>0.0</v>
      </c>
      <c r="T34" s="147" t="s">
        <v>104</v>
      </c>
      <c r="U34" s="161" t="s">
        <v>587</v>
      </c>
      <c r="V34" s="148" t="s">
        <v>717</v>
      </c>
      <c r="W34" s="149" t="s">
        <v>551</v>
      </c>
      <c r="X34" s="149" t="s">
        <v>914</v>
      </c>
      <c r="Y34" s="147" t="s">
        <v>52</v>
      </c>
      <c r="Z34" s="147" t="s">
        <v>557</v>
      </c>
      <c r="AA34" s="147" t="s">
        <v>11</v>
      </c>
      <c r="AB34" s="147" t="s">
        <v>915</v>
      </c>
      <c r="AC34" s="147">
        <v>1.0</v>
      </c>
      <c r="AD34" s="147">
        <v>2.0</v>
      </c>
      <c r="AE34" s="147">
        <v>1.0</v>
      </c>
      <c r="AF34" s="147">
        <v>1.0</v>
      </c>
    </row>
    <row r="35" ht="15.75" customHeight="1">
      <c r="A35" s="141">
        <v>111.0</v>
      </c>
      <c r="B35" s="142" t="s">
        <v>52</v>
      </c>
      <c r="C35" s="275" t="str">
        <f>HYPERLINK("https://azurlane.koumakan.jp/Sheffield","Sheffield")</f>
        <v>Sheffield</v>
      </c>
      <c r="D35" s="142" t="s">
        <v>28</v>
      </c>
      <c r="E35" s="165">
        <v>3884.0</v>
      </c>
      <c r="F35" s="145">
        <v>158.0</v>
      </c>
      <c r="G35" s="145">
        <v>299.0</v>
      </c>
      <c r="H35" s="145">
        <v>0.0</v>
      </c>
      <c r="I35" s="145">
        <v>358.0</v>
      </c>
      <c r="J35" s="145">
        <v>185.0</v>
      </c>
      <c r="K35" s="145">
        <v>119.0</v>
      </c>
      <c r="L35" s="145" t="s">
        <v>29</v>
      </c>
      <c r="M35" s="145">
        <v>32.0</v>
      </c>
      <c r="N35" s="145">
        <v>164.0</v>
      </c>
      <c r="O35" s="145">
        <v>78.0</v>
      </c>
      <c r="P35" s="145">
        <v>89.0</v>
      </c>
      <c r="Q35" s="145">
        <v>10.0</v>
      </c>
      <c r="R35" s="145">
        <v>0.0</v>
      </c>
      <c r="S35" s="145">
        <v>0.0</v>
      </c>
      <c r="T35" s="147" t="s">
        <v>104</v>
      </c>
      <c r="U35" s="161" t="s">
        <v>916</v>
      </c>
      <c r="V35" s="164" t="s">
        <v>917</v>
      </c>
      <c r="W35" s="149" t="s">
        <v>551</v>
      </c>
      <c r="X35" s="149" t="s">
        <v>914</v>
      </c>
      <c r="Y35" s="147" t="s">
        <v>52</v>
      </c>
      <c r="Z35" s="147" t="s">
        <v>557</v>
      </c>
      <c r="AA35" s="147" t="s">
        <v>11</v>
      </c>
      <c r="AB35" s="147" t="s">
        <v>918</v>
      </c>
      <c r="AC35" s="147">
        <v>1.0</v>
      </c>
      <c r="AD35" s="147">
        <v>2.0</v>
      </c>
      <c r="AE35" s="147">
        <v>1.0</v>
      </c>
      <c r="AF35" s="147">
        <v>1.0</v>
      </c>
    </row>
    <row r="36" ht="15.75" customHeight="1">
      <c r="A36" s="182">
        <v>113.0</v>
      </c>
      <c r="B36" s="183" t="s">
        <v>52</v>
      </c>
      <c r="C36" s="264" t="str">
        <f>HYPERLINK("https://azurlane.koumakan.jp/Gloucester","Gloucester")</f>
        <v>Gloucester</v>
      </c>
      <c r="D36" s="170" t="s">
        <v>28</v>
      </c>
      <c r="E36" s="191">
        <v>3875.0</v>
      </c>
      <c r="F36" s="170">
        <v>158.0</v>
      </c>
      <c r="G36" s="170">
        <v>284.0</v>
      </c>
      <c r="H36" s="170">
        <v>0.0</v>
      </c>
      <c r="I36" s="170">
        <v>324.0</v>
      </c>
      <c r="J36" s="170">
        <v>178.0</v>
      </c>
      <c r="K36" s="170">
        <v>119.0</v>
      </c>
      <c r="L36" s="170" t="s">
        <v>29</v>
      </c>
      <c r="M36" s="170">
        <v>32.0</v>
      </c>
      <c r="N36" s="170">
        <v>161.0</v>
      </c>
      <c r="O36" s="170">
        <v>45.0</v>
      </c>
      <c r="P36" s="170">
        <v>143.0</v>
      </c>
      <c r="Q36" s="170">
        <v>11.0</v>
      </c>
      <c r="R36" s="170">
        <v>0.0</v>
      </c>
      <c r="S36" s="170">
        <v>0.0</v>
      </c>
      <c r="T36" s="170" t="s">
        <v>104</v>
      </c>
      <c r="U36" s="172" t="s">
        <v>919</v>
      </c>
      <c r="V36" s="173" t="s">
        <v>920</v>
      </c>
      <c r="W36" s="170" t="s">
        <v>551</v>
      </c>
      <c r="X36" s="170" t="s">
        <v>921</v>
      </c>
      <c r="Y36" s="170" t="s">
        <v>52</v>
      </c>
      <c r="Z36" s="170" t="s">
        <v>557</v>
      </c>
      <c r="AA36" s="170" t="s">
        <v>11</v>
      </c>
      <c r="AB36" s="170" t="s">
        <v>918</v>
      </c>
      <c r="AC36" s="170">
        <v>1.0</v>
      </c>
      <c r="AD36" s="170">
        <v>2.0</v>
      </c>
      <c r="AE36" s="170">
        <v>1.0</v>
      </c>
      <c r="AF36" s="170">
        <v>1.0</v>
      </c>
    </row>
    <row r="37" ht="15.75" customHeight="1">
      <c r="A37" s="141">
        <v>114.0</v>
      </c>
      <c r="B37" s="142" t="s">
        <v>52</v>
      </c>
      <c r="C37" s="275" t="str">
        <f>HYPERLINK("https://azurlane.koumakan.jp/Edinburgh","Edinburgh")</f>
        <v>Edinburgh</v>
      </c>
      <c r="D37" s="142" t="s">
        <v>28</v>
      </c>
      <c r="E37" s="165">
        <v>4588.0</v>
      </c>
      <c r="F37" s="145">
        <v>159.0</v>
      </c>
      <c r="G37" s="145">
        <v>284.0</v>
      </c>
      <c r="H37" s="145">
        <v>0.0</v>
      </c>
      <c r="I37" s="145">
        <v>320.0</v>
      </c>
      <c r="J37" s="145">
        <v>178.0</v>
      </c>
      <c r="K37" s="145">
        <v>119.0</v>
      </c>
      <c r="L37" s="145" t="s">
        <v>29</v>
      </c>
      <c r="M37" s="145">
        <v>32.0</v>
      </c>
      <c r="N37" s="145">
        <v>164.0</v>
      </c>
      <c r="O37" s="145">
        <v>37.0</v>
      </c>
      <c r="P37" s="145">
        <v>102.0</v>
      </c>
      <c r="Q37" s="145">
        <v>10.0</v>
      </c>
      <c r="R37" s="145">
        <v>0.0</v>
      </c>
      <c r="S37" s="145">
        <v>0.0</v>
      </c>
      <c r="T37" s="147" t="s">
        <v>104</v>
      </c>
      <c r="U37" s="164" t="s">
        <v>689</v>
      </c>
      <c r="V37" s="149" t="s">
        <v>551</v>
      </c>
      <c r="W37" s="149" t="s">
        <v>551</v>
      </c>
      <c r="X37" s="149" t="s">
        <v>922</v>
      </c>
      <c r="Y37" s="147" t="s">
        <v>52</v>
      </c>
      <c r="Z37" s="147" t="s">
        <v>557</v>
      </c>
      <c r="AA37" s="147" t="s">
        <v>11</v>
      </c>
      <c r="AB37" s="147" t="s">
        <v>923</v>
      </c>
      <c r="AC37" s="147">
        <v>1.0</v>
      </c>
      <c r="AD37" s="147">
        <v>2.0</v>
      </c>
      <c r="AE37" s="147">
        <v>1.0</v>
      </c>
      <c r="AF37" s="147">
        <v>1.0</v>
      </c>
    </row>
    <row r="38" ht="15.75" customHeight="1">
      <c r="A38" s="141">
        <v>115.0</v>
      </c>
      <c r="B38" s="142" t="s">
        <v>52</v>
      </c>
      <c r="C38" s="275" t="str">
        <f>HYPERLINK("https://azurlane.koumakan.jp/Belfast","Belfast")</f>
        <v>Belfast</v>
      </c>
      <c r="D38" s="142" t="s">
        <v>32</v>
      </c>
      <c r="E38" s="165">
        <v>4062.0</v>
      </c>
      <c r="F38" s="145">
        <v>181.0</v>
      </c>
      <c r="G38" s="145">
        <v>344.0</v>
      </c>
      <c r="H38" s="145">
        <v>0.0</v>
      </c>
      <c r="I38" s="145">
        <v>299.0</v>
      </c>
      <c r="J38" s="145">
        <v>185.0</v>
      </c>
      <c r="K38" s="145">
        <v>113.0</v>
      </c>
      <c r="L38" s="145" t="s">
        <v>29</v>
      </c>
      <c r="M38" s="145">
        <v>32.0</v>
      </c>
      <c r="N38" s="145">
        <v>164.0</v>
      </c>
      <c r="O38" s="145">
        <v>88.0</v>
      </c>
      <c r="P38" s="145">
        <v>147.0</v>
      </c>
      <c r="Q38" s="145">
        <v>11.0</v>
      </c>
      <c r="R38" s="145">
        <v>0.0</v>
      </c>
      <c r="S38" s="145">
        <v>0.0</v>
      </c>
      <c r="T38" s="147" t="s">
        <v>104</v>
      </c>
      <c r="U38" s="164" t="s">
        <v>924</v>
      </c>
      <c r="V38" s="161" t="s">
        <v>925</v>
      </c>
      <c r="W38" s="149" t="s">
        <v>551</v>
      </c>
      <c r="X38" s="149" t="s">
        <v>926</v>
      </c>
      <c r="Y38" s="147" t="s">
        <v>52</v>
      </c>
      <c r="Z38" s="147" t="s">
        <v>557</v>
      </c>
      <c r="AA38" s="147" t="s">
        <v>11</v>
      </c>
      <c r="AB38" s="147" t="s">
        <v>923</v>
      </c>
      <c r="AC38" s="147">
        <v>1.0</v>
      </c>
      <c r="AD38" s="147">
        <v>2.0</v>
      </c>
      <c r="AE38" s="147">
        <v>1.0</v>
      </c>
      <c r="AF38" s="147">
        <v>1.0</v>
      </c>
    </row>
    <row r="39" ht="15.75" customHeight="1">
      <c r="A39" s="141">
        <v>116.0</v>
      </c>
      <c r="B39" s="142" t="s">
        <v>52</v>
      </c>
      <c r="C39" s="275" t="str">
        <f>HYPERLINK("https://azurlane.koumakan.jp/Arethusa","Arethusa")</f>
        <v>Arethusa</v>
      </c>
      <c r="D39" s="142" t="s">
        <v>36</v>
      </c>
      <c r="E39" s="165">
        <v>2896.0</v>
      </c>
      <c r="F39" s="145">
        <v>158.0</v>
      </c>
      <c r="G39" s="145">
        <v>274.0</v>
      </c>
      <c r="H39" s="145">
        <v>0.0</v>
      </c>
      <c r="I39" s="145">
        <v>331.0</v>
      </c>
      <c r="J39" s="145">
        <v>190.0</v>
      </c>
      <c r="K39" s="145">
        <v>119.0</v>
      </c>
      <c r="L39" s="145" t="s">
        <v>29</v>
      </c>
      <c r="M39" s="145">
        <v>32.0</v>
      </c>
      <c r="N39" s="145">
        <v>175.0</v>
      </c>
      <c r="O39" s="145">
        <v>69.0</v>
      </c>
      <c r="P39" s="145">
        <v>117.0</v>
      </c>
      <c r="Q39" s="145">
        <v>9.0</v>
      </c>
      <c r="R39" s="145">
        <v>0.0</v>
      </c>
      <c r="S39" s="145">
        <v>0.0</v>
      </c>
      <c r="T39" s="147" t="s">
        <v>104</v>
      </c>
      <c r="U39" s="148" t="s">
        <v>717</v>
      </c>
      <c r="V39" s="149" t="s">
        <v>551</v>
      </c>
      <c r="W39" s="149" t="s">
        <v>551</v>
      </c>
      <c r="X39" s="149" t="s">
        <v>927</v>
      </c>
      <c r="Y39" s="147" t="s">
        <v>52</v>
      </c>
      <c r="Z39" s="147" t="s">
        <v>557</v>
      </c>
      <c r="AA39" s="147" t="s">
        <v>11</v>
      </c>
      <c r="AB39" s="147" t="s">
        <v>928</v>
      </c>
      <c r="AC39" s="147">
        <v>1.0</v>
      </c>
      <c r="AD39" s="147">
        <v>2.0</v>
      </c>
      <c r="AE39" s="147">
        <v>1.0</v>
      </c>
      <c r="AF39" s="147">
        <v>1.0</v>
      </c>
    </row>
    <row r="40" ht="15.75" customHeight="1">
      <c r="A40" s="141">
        <v>117.0</v>
      </c>
      <c r="B40" s="142" t="s">
        <v>52</v>
      </c>
      <c r="C40" s="275" t="str">
        <f>HYPERLINK("https://azurlane.koumakan.jp/Galatea","Galatea")</f>
        <v>Galatea</v>
      </c>
      <c r="D40" s="142" t="s">
        <v>36</v>
      </c>
      <c r="E40" s="165">
        <v>2896.0</v>
      </c>
      <c r="F40" s="145">
        <v>158.0</v>
      </c>
      <c r="G40" s="145">
        <v>274.0</v>
      </c>
      <c r="H40" s="145">
        <v>0.0</v>
      </c>
      <c r="I40" s="145">
        <v>331.0</v>
      </c>
      <c r="J40" s="145">
        <v>190.0</v>
      </c>
      <c r="K40" s="145">
        <v>119.0</v>
      </c>
      <c r="L40" s="145" t="s">
        <v>29</v>
      </c>
      <c r="M40" s="145">
        <v>32.0</v>
      </c>
      <c r="N40" s="145">
        <v>175.0</v>
      </c>
      <c r="O40" s="145">
        <v>26.0</v>
      </c>
      <c r="P40" s="145">
        <v>94.0</v>
      </c>
      <c r="Q40" s="145">
        <v>9.0</v>
      </c>
      <c r="R40" s="145">
        <v>0.0</v>
      </c>
      <c r="S40" s="145">
        <v>0.0</v>
      </c>
      <c r="T40" s="147" t="s">
        <v>104</v>
      </c>
      <c r="U40" s="164" t="s">
        <v>575</v>
      </c>
      <c r="V40" s="149" t="s">
        <v>551</v>
      </c>
      <c r="W40" s="149" t="s">
        <v>551</v>
      </c>
      <c r="X40" s="149" t="s">
        <v>927</v>
      </c>
      <c r="Y40" s="147" t="s">
        <v>52</v>
      </c>
      <c r="Z40" s="147" t="s">
        <v>557</v>
      </c>
      <c r="AA40" s="147" t="s">
        <v>11</v>
      </c>
      <c r="AB40" s="147" t="s">
        <v>928</v>
      </c>
      <c r="AC40" s="147">
        <v>1.0</v>
      </c>
      <c r="AD40" s="147">
        <v>2.0</v>
      </c>
      <c r="AE40" s="147">
        <v>1.0</v>
      </c>
      <c r="AF40" s="147">
        <v>1.0</v>
      </c>
    </row>
    <row r="41" ht="15.75" customHeight="1">
      <c r="A41" s="141">
        <v>118.0</v>
      </c>
      <c r="B41" s="142" t="s">
        <v>52</v>
      </c>
      <c r="C41" s="275" t="str">
        <f>HYPERLINK("https://azurlane.koumakan.jp/Aurora","Aurora")</f>
        <v>Aurora</v>
      </c>
      <c r="D41" s="142" t="s">
        <v>28</v>
      </c>
      <c r="E41" s="165">
        <v>2982.0</v>
      </c>
      <c r="F41" s="145">
        <v>164.0</v>
      </c>
      <c r="G41" s="145">
        <v>282.0</v>
      </c>
      <c r="H41" s="145">
        <v>0.0</v>
      </c>
      <c r="I41" s="145">
        <v>341.0</v>
      </c>
      <c r="J41" s="145">
        <v>197.0</v>
      </c>
      <c r="K41" s="145">
        <v>119.0</v>
      </c>
      <c r="L41" s="145" t="s">
        <v>29</v>
      </c>
      <c r="M41" s="145">
        <v>32.0</v>
      </c>
      <c r="N41" s="145">
        <v>176.0</v>
      </c>
      <c r="O41" s="145">
        <v>84.0</v>
      </c>
      <c r="P41" s="145">
        <v>110.0</v>
      </c>
      <c r="Q41" s="145">
        <v>10.0</v>
      </c>
      <c r="R41" s="145">
        <v>0.0</v>
      </c>
      <c r="S41" s="145">
        <v>0.0</v>
      </c>
      <c r="T41" s="147" t="s">
        <v>104</v>
      </c>
      <c r="U41" s="164" t="s">
        <v>929</v>
      </c>
      <c r="V41" s="148" t="s">
        <v>930</v>
      </c>
      <c r="W41" s="149" t="s">
        <v>551</v>
      </c>
      <c r="X41" s="149" t="s">
        <v>927</v>
      </c>
      <c r="Y41" s="147" t="s">
        <v>52</v>
      </c>
      <c r="Z41" s="147" t="s">
        <v>557</v>
      </c>
      <c r="AA41" s="147" t="s">
        <v>11</v>
      </c>
      <c r="AB41" s="147" t="s">
        <v>931</v>
      </c>
      <c r="AC41" s="147">
        <v>1.0</v>
      </c>
      <c r="AD41" s="147">
        <v>2.0</v>
      </c>
      <c r="AE41" s="147">
        <v>1.0</v>
      </c>
      <c r="AF41" s="147">
        <v>1.0</v>
      </c>
    </row>
    <row r="42" ht="15.75" customHeight="1">
      <c r="A42" s="141">
        <v>119.0</v>
      </c>
      <c r="B42" s="142" t="s">
        <v>66</v>
      </c>
      <c r="C42" s="275" t="str">
        <f>HYPERLINK("https://azurlane.koumakan.jp/London","London")</f>
        <v>London</v>
      </c>
      <c r="D42" s="142" t="s">
        <v>28</v>
      </c>
      <c r="E42" s="165">
        <v>3644.0</v>
      </c>
      <c r="F42" s="145">
        <v>226.0</v>
      </c>
      <c r="G42" s="145">
        <v>226.0</v>
      </c>
      <c r="H42" s="145">
        <v>0.0</v>
      </c>
      <c r="I42" s="145">
        <v>217.0</v>
      </c>
      <c r="J42" s="145">
        <v>167.0</v>
      </c>
      <c r="K42" s="145">
        <v>69.0</v>
      </c>
      <c r="L42" s="145" t="s">
        <v>29</v>
      </c>
      <c r="M42" s="145">
        <v>25.0</v>
      </c>
      <c r="N42" s="145">
        <v>120.0</v>
      </c>
      <c r="O42" s="145">
        <v>62.0</v>
      </c>
      <c r="P42" s="145">
        <v>0.0</v>
      </c>
      <c r="Q42" s="145">
        <v>11.0</v>
      </c>
      <c r="R42" s="145">
        <v>0.0</v>
      </c>
      <c r="S42" s="145">
        <v>0.0</v>
      </c>
      <c r="T42" s="147" t="s">
        <v>104</v>
      </c>
      <c r="U42" s="148" t="s">
        <v>1006</v>
      </c>
      <c r="V42" s="149" t="s">
        <v>551</v>
      </c>
      <c r="W42" s="149" t="s">
        <v>551</v>
      </c>
      <c r="X42" s="149" t="s">
        <v>1165</v>
      </c>
      <c r="Y42" s="147" t="s">
        <v>66</v>
      </c>
      <c r="Z42" s="147" t="s">
        <v>557</v>
      </c>
      <c r="AA42" s="147" t="s">
        <v>11</v>
      </c>
      <c r="AB42" s="147" t="s">
        <v>1166</v>
      </c>
      <c r="AC42" s="147">
        <v>1.0</v>
      </c>
      <c r="AD42" s="147">
        <v>2.0</v>
      </c>
      <c r="AE42" s="147">
        <v>1.0</v>
      </c>
      <c r="AF42" s="147">
        <v>1.0</v>
      </c>
    </row>
    <row r="43" ht="15.75" customHeight="1">
      <c r="A43" s="182">
        <v>119.1</v>
      </c>
      <c r="B43" s="183" t="s">
        <v>66</v>
      </c>
      <c r="C43" s="264" t="str">
        <f>HYPERLINK("https://azurlane.koumakan.jp/London#Retrofit","London (R)")</f>
        <v>London (R)</v>
      </c>
      <c r="D43" s="170" t="s">
        <v>32</v>
      </c>
      <c r="E43" s="191">
        <v>3924.0</v>
      </c>
      <c r="F43" s="170">
        <v>236.0</v>
      </c>
      <c r="G43" s="170">
        <v>226.0</v>
      </c>
      <c r="H43" s="170">
        <v>0.0</v>
      </c>
      <c r="I43" s="170">
        <v>302.0</v>
      </c>
      <c r="J43" s="170">
        <v>167.0</v>
      </c>
      <c r="K43" s="170">
        <v>84.0</v>
      </c>
      <c r="L43" s="170" t="s">
        <v>29</v>
      </c>
      <c r="M43" s="170">
        <v>25.0</v>
      </c>
      <c r="N43" s="170">
        <v>140.0</v>
      </c>
      <c r="O43" s="170">
        <v>62.0</v>
      </c>
      <c r="P43" s="170">
        <v>0.0</v>
      </c>
      <c r="Q43" s="170">
        <v>11.0</v>
      </c>
      <c r="R43" s="170">
        <v>0.0</v>
      </c>
      <c r="S43" s="170">
        <v>0.0</v>
      </c>
      <c r="T43" s="147" t="s">
        <v>104</v>
      </c>
      <c r="U43" s="148" t="s">
        <v>1006</v>
      </c>
      <c r="V43" s="149" t="s">
        <v>551</v>
      </c>
      <c r="W43" s="164" t="s">
        <v>1167</v>
      </c>
      <c r="X43" s="149" t="s">
        <v>1165</v>
      </c>
      <c r="Y43" s="147" t="s">
        <v>66</v>
      </c>
      <c r="Z43" s="147" t="s">
        <v>557</v>
      </c>
      <c r="AA43" s="147" t="s">
        <v>11</v>
      </c>
      <c r="AB43" s="147" t="s">
        <v>1168</v>
      </c>
      <c r="AC43" s="147">
        <v>1.0</v>
      </c>
      <c r="AD43" s="147">
        <v>1.0</v>
      </c>
      <c r="AE43" s="147">
        <v>1.0</v>
      </c>
      <c r="AF43" s="147">
        <v>1.0</v>
      </c>
    </row>
    <row r="44" ht="15.75" customHeight="1">
      <c r="A44" s="141">
        <v>120.0</v>
      </c>
      <c r="B44" s="142" t="s">
        <v>66</v>
      </c>
      <c r="C44" s="275" t="str">
        <f>HYPERLINK("https://azurlane.koumakan.jp/Shropshire","Shropshire")</f>
        <v>Shropshire</v>
      </c>
      <c r="D44" s="142" t="s">
        <v>36</v>
      </c>
      <c r="E44" s="165">
        <v>3542.0</v>
      </c>
      <c r="F44" s="145">
        <v>221.0</v>
      </c>
      <c r="G44" s="145">
        <v>218.0</v>
      </c>
      <c r="H44" s="145">
        <v>0.0</v>
      </c>
      <c r="I44" s="145">
        <v>212.0</v>
      </c>
      <c r="J44" s="145">
        <v>162.0</v>
      </c>
      <c r="K44" s="145">
        <v>69.0</v>
      </c>
      <c r="L44" s="145" t="s">
        <v>29</v>
      </c>
      <c r="M44" s="145">
        <v>25.0</v>
      </c>
      <c r="N44" s="145">
        <v>120.0</v>
      </c>
      <c r="O44" s="145">
        <v>75.0</v>
      </c>
      <c r="P44" s="145">
        <v>0.0</v>
      </c>
      <c r="Q44" s="145">
        <v>10.0</v>
      </c>
      <c r="R44" s="145">
        <v>0.0</v>
      </c>
      <c r="S44" s="145">
        <v>0.0</v>
      </c>
      <c r="T44" s="147" t="s">
        <v>104</v>
      </c>
      <c r="U44" s="164" t="s">
        <v>1158</v>
      </c>
      <c r="V44" s="149" t="s">
        <v>551</v>
      </c>
      <c r="W44" s="149" t="s">
        <v>551</v>
      </c>
      <c r="X44" s="149" t="s">
        <v>1165</v>
      </c>
      <c r="Y44" s="147" t="s">
        <v>66</v>
      </c>
      <c r="Z44" s="147" t="s">
        <v>557</v>
      </c>
      <c r="AA44" s="147" t="s">
        <v>11</v>
      </c>
      <c r="AB44" s="147" t="s">
        <v>1166</v>
      </c>
      <c r="AC44" s="147">
        <v>1.0</v>
      </c>
      <c r="AD44" s="147">
        <v>2.0</v>
      </c>
      <c r="AE44" s="147">
        <v>1.0</v>
      </c>
      <c r="AF44" s="147">
        <v>1.0</v>
      </c>
    </row>
    <row r="45" ht="15.75" customHeight="1">
      <c r="A45" s="141">
        <v>121.0</v>
      </c>
      <c r="B45" s="142" t="s">
        <v>66</v>
      </c>
      <c r="C45" s="275" t="str">
        <f>HYPERLINK("https://azurlane.koumakan.jp/Kent","Kent")</f>
        <v>Kent</v>
      </c>
      <c r="D45" s="142" t="s">
        <v>36</v>
      </c>
      <c r="E45" s="165">
        <v>3589.0</v>
      </c>
      <c r="F45" s="145">
        <v>221.0</v>
      </c>
      <c r="G45" s="145">
        <v>218.0</v>
      </c>
      <c r="H45" s="145">
        <v>0.0</v>
      </c>
      <c r="I45" s="145">
        <v>212.0</v>
      </c>
      <c r="J45" s="145">
        <v>162.0</v>
      </c>
      <c r="K45" s="145">
        <v>67.0</v>
      </c>
      <c r="L45" s="145" t="s">
        <v>29</v>
      </c>
      <c r="M45" s="145">
        <v>25.0</v>
      </c>
      <c r="N45" s="145">
        <v>120.0</v>
      </c>
      <c r="O45" s="145">
        <v>71.0</v>
      </c>
      <c r="P45" s="145">
        <v>0.0</v>
      </c>
      <c r="Q45" s="145">
        <v>10.0</v>
      </c>
      <c r="R45" s="145">
        <v>0.0</v>
      </c>
      <c r="S45" s="145">
        <v>0.0</v>
      </c>
      <c r="T45" s="147" t="s">
        <v>104</v>
      </c>
      <c r="U45" s="148" t="s">
        <v>899</v>
      </c>
      <c r="V45" s="149" t="s">
        <v>551</v>
      </c>
      <c r="W45" s="149" t="s">
        <v>551</v>
      </c>
      <c r="X45" s="149" t="s">
        <v>1169</v>
      </c>
      <c r="Y45" s="147" t="s">
        <v>66</v>
      </c>
      <c r="Z45" s="147" t="s">
        <v>557</v>
      </c>
      <c r="AA45" s="147" t="s">
        <v>11</v>
      </c>
      <c r="AB45" s="147" t="s">
        <v>1166</v>
      </c>
      <c r="AC45" s="147">
        <v>1.0</v>
      </c>
      <c r="AD45" s="147">
        <v>2.0</v>
      </c>
      <c r="AE45" s="147">
        <v>1.0</v>
      </c>
      <c r="AF45" s="147">
        <v>1.0</v>
      </c>
    </row>
    <row r="46" ht="15.75" customHeight="1">
      <c r="A46" s="141">
        <v>122.0</v>
      </c>
      <c r="B46" s="142" t="s">
        <v>66</v>
      </c>
      <c r="C46" s="275" t="str">
        <f>HYPERLINK("https://azurlane.koumakan.jp/Suffolk","Suffolk")</f>
        <v>Suffolk</v>
      </c>
      <c r="D46" s="142" t="s">
        <v>36</v>
      </c>
      <c r="E46" s="165">
        <v>3554.0</v>
      </c>
      <c r="F46" s="145">
        <v>221.0</v>
      </c>
      <c r="G46" s="145">
        <v>218.0</v>
      </c>
      <c r="H46" s="145">
        <v>0.0</v>
      </c>
      <c r="I46" s="145">
        <v>212.0</v>
      </c>
      <c r="J46" s="145">
        <v>162.0</v>
      </c>
      <c r="K46" s="145">
        <v>67.0</v>
      </c>
      <c r="L46" s="145" t="s">
        <v>29</v>
      </c>
      <c r="M46" s="145">
        <v>25.0</v>
      </c>
      <c r="N46" s="145">
        <v>120.0</v>
      </c>
      <c r="O46" s="145">
        <v>72.0</v>
      </c>
      <c r="P46" s="145">
        <v>0.0</v>
      </c>
      <c r="Q46" s="145">
        <v>10.0</v>
      </c>
      <c r="R46" s="145">
        <v>0.0</v>
      </c>
      <c r="S46" s="145">
        <v>0.0</v>
      </c>
      <c r="T46" s="147" t="s">
        <v>104</v>
      </c>
      <c r="U46" s="164" t="s">
        <v>1158</v>
      </c>
      <c r="V46" s="149" t="s">
        <v>551</v>
      </c>
      <c r="W46" s="149" t="s">
        <v>551</v>
      </c>
      <c r="X46" s="149" t="s">
        <v>1169</v>
      </c>
      <c r="Y46" s="147" t="s">
        <v>66</v>
      </c>
      <c r="Z46" s="147" t="s">
        <v>557</v>
      </c>
      <c r="AA46" s="147" t="s">
        <v>11</v>
      </c>
      <c r="AB46" s="147" t="s">
        <v>1166</v>
      </c>
      <c r="AC46" s="147">
        <v>1.0</v>
      </c>
      <c r="AD46" s="147">
        <v>2.0</v>
      </c>
      <c r="AE46" s="147">
        <v>1.0</v>
      </c>
      <c r="AF46" s="147">
        <v>1.0</v>
      </c>
    </row>
    <row r="47" ht="15.75" customHeight="1">
      <c r="A47" s="141">
        <v>122.1</v>
      </c>
      <c r="B47" s="142" t="s">
        <v>66</v>
      </c>
      <c r="C47" s="275" t="str">
        <f>HYPERLINK("https://azurlane.koumakan.jp/Suffolk#Retrofit","Suffolk (R)")</f>
        <v>Suffolk (R)</v>
      </c>
      <c r="D47" s="142" t="s">
        <v>28</v>
      </c>
      <c r="E47" s="144">
        <v>3834.0</v>
      </c>
      <c r="F47" s="145">
        <v>276.0</v>
      </c>
      <c r="G47" s="145">
        <v>248.0</v>
      </c>
      <c r="H47" s="145">
        <v>0.0</v>
      </c>
      <c r="I47" s="145">
        <v>212.0</v>
      </c>
      <c r="J47" s="145">
        <v>167.0</v>
      </c>
      <c r="K47" s="145">
        <v>67.0</v>
      </c>
      <c r="L47" s="145" t="s">
        <v>29</v>
      </c>
      <c r="M47" s="145">
        <v>25.0</v>
      </c>
      <c r="N47" s="145">
        <v>120.0</v>
      </c>
      <c r="O47" s="169">
        <v>72.0</v>
      </c>
      <c r="P47" s="145">
        <v>0.0</v>
      </c>
      <c r="Q47" s="145">
        <v>10.0</v>
      </c>
      <c r="R47" s="145">
        <v>0.0</v>
      </c>
      <c r="S47" s="145">
        <v>0.0</v>
      </c>
      <c r="T47" s="147" t="s">
        <v>104</v>
      </c>
      <c r="U47" s="164" t="s">
        <v>1158</v>
      </c>
      <c r="V47" s="149" t="s">
        <v>551</v>
      </c>
      <c r="W47" s="164" t="s">
        <v>575</v>
      </c>
      <c r="X47" s="149" t="s">
        <v>1169</v>
      </c>
      <c r="Y47" s="147" t="s">
        <v>66</v>
      </c>
      <c r="Z47" s="147" t="s">
        <v>557</v>
      </c>
      <c r="AA47" s="147" t="s">
        <v>11</v>
      </c>
      <c r="AB47" s="147" t="s">
        <v>1170</v>
      </c>
      <c r="AC47" s="147">
        <v>1.0</v>
      </c>
      <c r="AD47" s="147">
        <v>2.0</v>
      </c>
      <c r="AE47" s="147">
        <v>1.0</v>
      </c>
      <c r="AF47" s="147">
        <v>1.0</v>
      </c>
    </row>
    <row r="48" ht="15.75" customHeight="1">
      <c r="A48" s="141">
        <v>123.0</v>
      </c>
      <c r="B48" s="142" t="s">
        <v>66</v>
      </c>
      <c r="C48" s="275" t="str">
        <f>HYPERLINK("https://azurlane.koumakan.jp/Norfolk","Norfolk")</f>
        <v>Norfolk</v>
      </c>
      <c r="D48" s="142" t="s">
        <v>36</v>
      </c>
      <c r="E48" s="165">
        <v>4727.0</v>
      </c>
      <c r="F48" s="145">
        <v>180.0</v>
      </c>
      <c r="G48" s="145">
        <v>143.0</v>
      </c>
      <c r="H48" s="145">
        <v>0.0</v>
      </c>
      <c r="I48" s="145">
        <v>247.0</v>
      </c>
      <c r="J48" s="145">
        <v>162.0</v>
      </c>
      <c r="K48" s="145">
        <v>71.0</v>
      </c>
      <c r="L48" s="145" t="s">
        <v>71</v>
      </c>
      <c r="M48" s="145">
        <v>25.0</v>
      </c>
      <c r="N48" s="145">
        <v>120.0</v>
      </c>
      <c r="O48" s="145">
        <v>69.0</v>
      </c>
      <c r="P48" s="145">
        <v>0.0</v>
      </c>
      <c r="Q48" s="145">
        <v>10.0</v>
      </c>
      <c r="R48" s="145">
        <v>0.0</v>
      </c>
      <c r="S48" s="145">
        <v>0.0</v>
      </c>
      <c r="T48" s="147" t="s">
        <v>104</v>
      </c>
      <c r="U48" s="161" t="s">
        <v>1171</v>
      </c>
      <c r="V48" s="149" t="s">
        <v>551</v>
      </c>
      <c r="W48" s="149" t="s">
        <v>551</v>
      </c>
      <c r="X48" s="149" t="s">
        <v>1172</v>
      </c>
      <c r="Y48" s="147" t="s">
        <v>66</v>
      </c>
      <c r="Z48" s="147" t="s">
        <v>557</v>
      </c>
      <c r="AA48" s="147" t="s">
        <v>11</v>
      </c>
      <c r="AB48" s="147" t="s">
        <v>1173</v>
      </c>
      <c r="AC48" s="147">
        <v>1.0</v>
      </c>
      <c r="AD48" s="147">
        <v>2.0</v>
      </c>
      <c r="AE48" s="147">
        <v>1.0</v>
      </c>
      <c r="AF48" s="147">
        <v>1.0</v>
      </c>
    </row>
    <row r="49" ht="15.75" customHeight="1">
      <c r="A49" s="141">
        <v>124.0</v>
      </c>
      <c r="B49" s="142" t="s">
        <v>66</v>
      </c>
      <c r="C49" s="275" t="str">
        <f>HYPERLINK("https://azurlane.koumakan.jp/Dorsetshire","Dorsetshire")</f>
        <v>Dorsetshire</v>
      </c>
      <c r="D49" s="142" t="s">
        <v>28</v>
      </c>
      <c r="E49" s="165">
        <v>4865.0</v>
      </c>
      <c r="F49" s="145">
        <v>185.0</v>
      </c>
      <c r="G49" s="145">
        <v>248.0</v>
      </c>
      <c r="H49" s="145">
        <v>0.0</v>
      </c>
      <c r="I49" s="145">
        <v>255.0</v>
      </c>
      <c r="J49" s="145">
        <v>167.0</v>
      </c>
      <c r="K49" s="145">
        <v>71.0</v>
      </c>
      <c r="L49" s="145" t="s">
        <v>71</v>
      </c>
      <c r="M49" s="145">
        <v>25.0</v>
      </c>
      <c r="N49" s="145">
        <v>120.0</v>
      </c>
      <c r="O49" s="145">
        <v>33.0</v>
      </c>
      <c r="P49" s="145">
        <v>0.0</v>
      </c>
      <c r="Q49" s="145">
        <v>10.0</v>
      </c>
      <c r="R49" s="145">
        <v>0.0</v>
      </c>
      <c r="S49" s="145">
        <v>0.0</v>
      </c>
      <c r="T49" s="147" t="s">
        <v>104</v>
      </c>
      <c r="U49" s="164" t="s">
        <v>1174</v>
      </c>
      <c r="V49" s="149" t="s">
        <v>551</v>
      </c>
      <c r="W49" s="149" t="s">
        <v>551</v>
      </c>
      <c r="X49" s="149" t="s">
        <v>1172</v>
      </c>
      <c r="Y49" s="147" t="s">
        <v>66</v>
      </c>
      <c r="Z49" s="147" t="s">
        <v>557</v>
      </c>
      <c r="AA49" s="147" t="s">
        <v>11</v>
      </c>
      <c r="AB49" s="147" t="s">
        <v>1175</v>
      </c>
      <c r="AC49" s="147">
        <v>1.0</v>
      </c>
      <c r="AD49" s="147">
        <v>2.0</v>
      </c>
      <c r="AE49" s="147">
        <v>1.0</v>
      </c>
      <c r="AF49" s="147">
        <v>1.0</v>
      </c>
    </row>
    <row r="50" ht="15.75" customHeight="1">
      <c r="A50" s="141">
        <v>125.0</v>
      </c>
      <c r="B50" s="142" t="s">
        <v>66</v>
      </c>
      <c r="C50" s="275" t="str">
        <f>HYPERLINK("https://azurlane.koumakan.jp/York","York")</f>
        <v>York</v>
      </c>
      <c r="D50" s="142" t="s">
        <v>28</v>
      </c>
      <c r="E50" s="165">
        <v>3761.0</v>
      </c>
      <c r="F50" s="145">
        <v>229.0</v>
      </c>
      <c r="G50" s="145">
        <v>196.0</v>
      </c>
      <c r="H50" s="145">
        <v>0.0</v>
      </c>
      <c r="I50" s="145">
        <v>248.0</v>
      </c>
      <c r="J50" s="145">
        <v>178.0</v>
      </c>
      <c r="K50" s="145">
        <v>75.0</v>
      </c>
      <c r="L50" s="145" t="s">
        <v>71</v>
      </c>
      <c r="M50" s="145">
        <v>25.0</v>
      </c>
      <c r="N50" s="145">
        <v>134.0</v>
      </c>
      <c r="O50" s="145">
        <v>15.0</v>
      </c>
      <c r="P50" s="145">
        <v>0.0</v>
      </c>
      <c r="Q50" s="145">
        <v>11.0</v>
      </c>
      <c r="R50" s="145">
        <v>0.0</v>
      </c>
      <c r="S50" s="145">
        <v>0.0</v>
      </c>
      <c r="T50" s="147" t="s">
        <v>104</v>
      </c>
      <c r="U50" s="164" t="s">
        <v>1176</v>
      </c>
      <c r="V50" s="149" t="s">
        <v>551</v>
      </c>
      <c r="W50" s="149" t="s">
        <v>551</v>
      </c>
      <c r="X50" s="149" t="s">
        <v>1177</v>
      </c>
      <c r="Y50" s="147" t="s">
        <v>66</v>
      </c>
      <c r="Z50" s="147" t="s">
        <v>557</v>
      </c>
      <c r="AA50" s="147" t="s">
        <v>11</v>
      </c>
      <c r="AB50" s="147" t="s">
        <v>1178</v>
      </c>
      <c r="AC50" s="147">
        <v>1.0</v>
      </c>
      <c r="AD50" s="147">
        <v>2.0</v>
      </c>
      <c r="AE50" s="147">
        <v>1.0</v>
      </c>
      <c r="AF50" s="147">
        <v>1.0</v>
      </c>
    </row>
    <row r="51" ht="15.75" customHeight="1">
      <c r="A51" s="141">
        <v>125.1</v>
      </c>
      <c r="B51" s="142" t="s">
        <v>66</v>
      </c>
      <c r="C51" s="275" t="str">
        <f>HYPERLINK("https://azurlane.koumakan.jp/York#Retrofit","York (R)")</f>
        <v>York (R)</v>
      </c>
      <c r="D51" s="142" t="s">
        <v>32</v>
      </c>
      <c r="E51" s="144">
        <v>4001.0</v>
      </c>
      <c r="F51" s="145">
        <v>289.0</v>
      </c>
      <c r="G51" s="145">
        <v>196.0</v>
      </c>
      <c r="H51" s="145">
        <v>0.0</v>
      </c>
      <c r="I51" s="145">
        <v>263.0</v>
      </c>
      <c r="J51" s="145">
        <v>193.0</v>
      </c>
      <c r="K51" s="145">
        <v>95.0</v>
      </c>
      <c r="L51" s="145" t="s">
        <v>71</v>
      </c>
      <c r="M51" s="145">
        <v>25.0</v>
      </c>
      <c r="N51" s="145">
        <v>134.0</v>
      </c>
      <c r="O51" s="169">
        <v>15.0</v>
      </c>
      <c r="P51" s="145">
        <v>0.0</v>
      </c>
      <c r="Q51" s="145">
        <v>11.0</v>
      </c>
      <c r="R51" s="145">
        <v>0.0</v>
      </c>
      <c r="S51" s="145">
        <v>0.0</v>
      </c>
      <c r="T51" s="147" t="s">
        <v>104</v>
      </c>
      <c r="U51" s="164" t="s">
        <v>1176</v>
      </c>
      <c r="V51" s="149" t="s">
        <v>551</v>
      </c>
      <c r="W51" s="148" t="s">
        <v>1179</v>
      </c>
      <c r="X51" s="149" t="s">
        <v>1177</v>
      </c>
      <c r="Y51" s="147" t="s">
        <v>66</v>
      </c>
      <c r="Z51" s="147" t="s">
        <v>557</v>
      </c>
      <c r="AA51" s="147" t="s">
        <v>11</v>
      </c>
      <c r="AB51" s="147" t="s">
        <v>1180</v>
      </c>
      <c r="AC51" s="147">
        <v>1.0</v>
      </c>
      <c r="AD51" s="147">
        <v>2.0</v>
      </c>
      <c r="AE51" s="147">
        <v>1.0</v>
      </c>
      <c r="AF51" s="147">
        <v>1.0</v>
      </c>
    </row>
    <row r="52" ht="15.75" customHeight="1">
      <c r="A52" s="141">
        <v>126.0</v>
      </c>
      <c r="B52" s="142" t="s">
        <v>66</v>
      </c>
      <c r="C52" s="275" t="str">
        <f>HYPERLINK("https://azurlane.koumakan.jp/Exeter","Exeter")</f>
        <v>Exeter</v>
      </c>
      <c r="D52" s="142" t="s">
        <v>28</v>
      </c>
      <c r="E52" s="165">
        <v>3791.0</v>
      </c>
      <c r="F52" s="145">
        <v>229.0</v>
      </c>
      <c r="G52" s="145">
        <v>196.0</v>
      </c>
      <c r="H52" s="145">
        <v>0.0</v>
      </c>
      <c r="I52" s="145">
        <v>248.0</v>
      </c>
      <c r="J52" s="145">
        <v>178.0</v>
      </c>
      <c r="K52" s="145">
        <v>75.0</v>
      </c>
      <c r="L52" s="145" t="s">
        <v>71</v>
      </c>
      <c r="M52" s="145">
        <v>25.0</v>
      </c>
      <c r="N52" s="145">
        <v>129.0</v>
      </c>
      <c r="O52" s="145">
        <v>49.0</v>
      </c>
      <c r="P52" s="145">
        <v>0.0</v>
      </c>
      <c r="Q52" s="145">
        <v>11.0</v>
      </c>
      <c r="R52" s="145">
        <v>0.0</v>
      </c>
      <c r="S52" s="145">
        <v>0.0</v>
      </c>
      <c r="T52" s="147" t="s">
        <v>104</v>
      </c>
      <c r="U52" s="164" t="s">
        <v>575</v>
      </c>
      <c r="V52" s="148" t="s">
        <v>1148</v>
      </c>
      <c r="W52" s="149" t="s">
        <v>551</v>
      </c>
      <c r="X52" s="149" t="s">
        <v>1177</v>
      </c>
      <c r="Y52" s="147" t="s">
        <v>66</v>
      </c>
      <c r="Z52" s="147" t="s">
        <v>557</v>
      </c>
      <c r="AA52" s="147" t="s">
        <v>11</v>
      </c>
      <c r="AB52" s="147" t="s">
        <v>1178</v>
      </c>
      <c r="AC52" s="147">
        <v>1.0</v>
      </c>
      <c r="AD52" s="147">
        <v>2.0</v>
      </c>
      <c r="AE52" s="147">
        <v>1.0</v>
      </c>
      <c r="AF52" s="147">
        <v>1.0</v>
      </c>
    </row>
    <row r="53" ht="15.75" customHeight="1">
      <c r="A53" s="141">
        <v>126.1</v>
      </c>
      <c r="B53" s="142" t="s">
        <v>66</v>
      </c>
      <c r="C53" s="275" t="str">
        <f>HYPERLINK("https://azurlane.koumakan.jp/Exeter#Retrofit","Exeter (R)")</f>
        <v>Exeter (R)</v>
      </c>
      <c r="D53" s="142" t="s">
        <v>32</v>
      </c>
      <c r="E53" s="144">
        <v>4031.0</v>
      </c>
      <c r="F53" s="145">
        <v>269.0</v>
      </c>
      <c r="G53" s="145">
        <v>196.0</v>
      </c>
      <c r="H53" s="145">
        <v>0.0</v>
      </c>
      <c r="I53" s="145">
        <v>263.0</v>
      </c>
      <c r="J53" s="145">
        <v>193.0</v>
      </c>
      <c r="K53" s="145">
        <v>75.0</v>
      </c>
      <c r="L53" s="145" t="s">
        <v>71</v>
      </c>
      <c r="M53" s="145">
        <v>25.0</v>
      </c>
      <c r="N53" s="145">
        <v>154.0</v>
      </c>
      <c r="O53" s="169">
        <v>49.0</v>
      </c>
      <c r="P53" s="145">
        <v>0.0</v>
      </c>
      <c r="Q53" s="145">
        <v>11.0</v>
      </c>
      <c r="R53" s="145">
        <v>0.0</v>
      </c>
      <c r="S53" s="145">
        <v>0.0</v>
      </c>
      <c r="T53" s="170" t="s">
        <v>104</v>
      </c>
      <c r="U53" s="164" t="s">
        <v>575</v>
      </c>
      <c r="V53" s="148" t="s">
        <v>1148</v>
      </c>
      <c r="W53" s="164" t="s">
        <v>907</v>
      </c>
      <c r="X53" s="149" t="s">
        <v>1177</v>
      </c>
      <c r="Y53" s="147" t="s">
        <v>66</v>
      </c>
      <c r="Z53" s="147" t="s">
        <v>557</v>
      </c>
      <c r="AA53" s="147" t="s">
        <v>11</v>
      </c>
      <c r="AB53" s="147" t="s">
        <v>1321</v>
      </c>
      <c r="AC53" s="147">
        <v>1.0</v>
      </c>
      <c r="AD53" s="147">
        <v>2.0</v>
      </c>
      <c r="AE53" s="147">
        <v>1.0</v>
      </c>
      <c r="AF53" s="147">
        <v>1.0</v>
      </c>
    </row>
    <row r="54" ht="15.75" customHeight="1">
      <c r="A54" s="141">
        <v>179.0</v>
      </c>
      <c r="B54" s="142" t="s">
        <v>52</v>
      </c>
      <c r="C54" s="275" t="str">
        <f>HYPERLINK("https://azurlane.koumakan.jp/Yuubari","Yuubari")</f>
        <v>Yuubari</v>
      </c>
      <c r="D54" s="142" t="s">
        <v>28</v>
      </c>
      <c r="E54" s="165">
        <v>2228.0</v>
      </c>
      <c r="F54" s="145">
        <v>133.0</v>
      </c>
      <c r="G54" s="145">
        <v>280.0</v>
      </c>
      <c r="H54" s="145">
        <v>0.0</v>
      </c>
      <c r="I54" s="145">
        <v>314.0</v>
      </c>
      <c r="J54" s="145">
        <v>185.0</v>
      </c>
      <c r="K54" s="145">
        <v>124.0</v>
      </c>
      <c r="L54" s="145" t="s">
        <v>29</v>
      </c>
      <c r="M54" s="145">
        <v>35.0</v>
      </c>
      <c r="N54" s="145">
        <v>143.0</v>
      </c>
      <c r="O54" s="145">
        <v>53.0</v>
      </c>
      <c r="P54" s="145">
        <v>85.0</v>
      </c>
      <c r="Q54" s="145">
        <v>8.0</v>
      </c>
      <c r="R54" s="145">
        <v>0.0</v>
      </c>
      <c r="S54" s="145">
        <v>0.0</v>
      </c>
      <c r="T54" s="147" t="s">
        <v>143</v>
      </c>
      <c r="U54" s="148" t="s">
        <v>932</v>
      </c>
      <c r="V54" s="164" t="s">
        <v>575</v>
      </c>
      <c r="W54" s="149" t="s">
        <v>551</v>
      </c>
      <c r="X54" s="149" t="s">
        <v>933</v>
      </c>
      <c r="Y54" s="147" t="s">
        <v>52</v>
      </c>
      <c r="Z54" s="147" t="s">
        <v>557</v>
      </c>
      <c r="AA54" s="147" t="s">
        <v>11</v>
      </c>
      <c r="AB54" s="147" t="s">
        <v>934</v>
      </c>
      <c r="AC54" s="147">
        <v>1.0</v>
      </c>
      <c r="AD54" s="147">
        <v>2.0</v>
      </c>
      <c r="AE54" s="147">
        <v>1.0</v>
      </c>
      <c r="AF54" s="147">
        <v>1.0</v>
      </c>
    </row>
    <row r="55" ht="15.75" customHeight="1">
      <c r="A55" s="156">
        <v>179.1</v>
      </c>
      <c r="B55" s="149" t="s">
        <v>52</v>
      </c>
      <c r="C55" s="276" t="str">
        <f>HYPERLINK("https://azurlane.koumakan.jp/Yuubari#Retrofit","Yuubari (R)")</f>
        <v>Yuubari (R)</v>
      </c>
      <c r="D55" s="142" t="s">
        <v>32</v>
      </c>
      <c r="E55" s="144">
        <v>2393.0</v>
      </c>
      <c r="F55" s="158">
        <v>163.0</v>
      </c>
      <c r="G55" s="158">
        <v>290.0</v>
      </c>
      <c r="H55" s="158">
        <v>0.0</v>
      </c>
      <c r="I55" s="158">
        <v>339.0</v>
      </c>
      <c r="J55" s="158">
        <v>205.0</v>
      </c>
      <c r="K55" s="158">
        <v>124.0</v>
      </c>
      <c r="L55" s="158" t="s">
        <v>29</v>
      </c>
      <c r="M55" s="158">
        <v>35.0</v>
      </c>
      <c r="N55" s="145">
        <v>163.0</v>
      </c>
      <c r="O55" s="145">
        <v>53.0</v>
      </c>
      <c r="P55" s="158">
        <v>85.0</v>
      </c>
      <c r="Q55" s="158">
        <v>8.0</v>
      </c>
      <c r="R55" s="158">
        <v>0.0</v>
      </c>
      <c r="S55" s="158">
        <v>0.0</v>
      </c>
      <c r="T55" s="147" t="s">
        <v>143</v>
      </c>
      <c r="U55" s="148" t="s">
        <v>932</v>
      </c>
      <c r="V55" s="164" t="s">
        <v>575</v>
      </c>
      <c r="W55" s="148" t="s">
        <v>935</v>
      </c>
      <c r="X55" s="149" t="s">
        <v>933</v>
      </c>
      <c r="Y55" s="147" t="s">
        <v>52</v>
      </c>
      <c r="Z55" s="147" t="s">
        <v>557</v>
      </c>
      <c r="AA55" s="147" t="s">
        <v>11</v>
      </c>
      <c r="AB55" s="147" t="s">
        <v>936</v>
      </c>
      <c r="AC55" s="147">
        <v>1.0</v>
      </c>
      <c r="AD55" s="147">
        <v>2.0</v>
      </c>
      <c r="AE55" s="147">
        <v>1.0</v>
      </c>
      <c r="AF55" s="147">
        <v>1.0</v>
      </c>
    </row>
    <row r="56" ht="15.75" customHeight="1">
      <c r="A56" s="141">
        <v>182.0</v>
      </c>
      <c r="B56" s="142" t="s">
        <v>52</v>
      </c>
      <c r="C56" s="275" t="str">
        <f>HYPERLINK("https://azurlane.koumakan.jp/Nagara","Nagara")</f>
        <v>Nagara</v>
      </c>
      <c r="D56" s="142" t="s">
        <v>40</v>
      </c>
      <c r="E56" s="165">
        <v>2959.0</v>
      </c>
      <c r="F56" s="145">
        <v>142.0</v>
      </c>
      <c r="G56" s="145">
        <v>282.0</v>
      </c>
      <c r="H56" s="145">
        <v>0.0</v>
      </c>
      <c r="I56" s="145">
        <v>284.0</v>
      </c>
      <c r="J56" s="145">
        <v>175.0</v>
      </c>
      <c r="K56" s="145">
        <v>132.0</v>
      </c>
      <c r="L56" s="145" t="s">
        <v>29</v>
      </c>
      <c r="M56" s="145">
        <v>36.0</v>
      </c>
      <c r="N56" s="145">
        <v>149.0</v>
      </c>
      <c r="O56" s="145">
        <v>36.0</v>
      </c>
      <c r="P56" s="145">
        <v>85.0</v>
      </c>
      <c r="Q56" s="145">
        <v>8.0</v>
      </c>
      <c r="R56" s="145">
        <v>0.0</v>
      </c>
      <c r="S56" s="145">
        <v>0.0</v>
      </c>
      <c r="T56" s="147" t="s">
        <v>143</v>
      </c>
      <c r="U56" s="164" t="s">
        <v>575</v>
      </c>
      <c r="V56" s="149" t="s">
        <v>551</v>
      </c>
      <c r="W56" s="149" t="s">
        <v>551</v>
      </c>
      <c r="X56" s="149" t="s">
        <v>937</v>
      </c>
      <c r="Y56" s="147" t="s">
        <v>52</v>
      </c>
      <c r="Z56" s="147" t="s">
        <v>557</v>
      </c>
      <c r="AA56" s="147" t="s">
        <v>11</v>
      </c>
      <c r="AB56" s="147" t="s">
        <v>934</v>
      </c>
      <c r="AC56" s="147">
        <v>1.0</v>
      </c>
      <c r="AD56" s="147">
        <v>2.0</v>
      </c>
      <c r="AE56" s="147">
        <v>1.0</v>
      </c>
      <c r="AF56" s="147">
        <v>1.0</v>
      </c>
    </row>
    <row r="57" ht="15.75" customHeight="1">
      <c r="A57" s="141">
        <v>183.0</v>
      </c>
      <c r="B57" s="142" t="s">
        <v>52</v>
      </c>
      <c r="C57" s="275" t="str">
        <f>HYPERLINK("https://azurlane.koumakan.jp/Isuzu","Isuzu")</f>
        <v>Isuzu</v>
      </c>
      <c r="D57" s="142" t="s">
        <v>36</v>
      </c>
      <c r="E57" s="165">
        <v>3289.0</v>
      </c>
      <c r="F57" s="145">
        <v>121.0</v>
      </c>
      <c r="G57" s="145">
        <v>223.0</v>
      </c>
      <c r="H57" s="145">
        <v>0.0</v>
      </c>
      <c r="I57" s="145">
        <v>350.0</v>
      </c>
      <c r="J57" s="145">
        <v>178.0</v>
      </c>
      <c r="K57" s="145">
        <v>119.0</v>
      </c>
      <c r="L57" s="145" t="s">
        <v>29</v>
      </c>
      <c r="M57" s="145">
        <v>36.0</v>
      </c>
      <c r="N57" s="145">
        <v>149.0</v>
      </c>
      <c r="O57" s="145">
        <v>33.0</v>
      </c>
      <c r="P57" s="145">
        <v>100.0</v>
      </c>
      <c r="Q57" s="145">
        <v>9.0</v>
      </c>
      <c r="R57" s="145">
        <v>0.0</v>
      </c>
      <c r="S57" s="145">
        <v>0.0</v>
      </c>
      <c r="T57" s="147" t="s">
        <v>143</v>
      </c>
      <c r="U57" s="161" t="s">
        <v>590</v>
      </c>
      <c r="V57" s="149" t="s">
        <v>551</v>
      </c>
      <c r="W57" s="149" t="s">
        <v>551</v>
      </c>
      <c r="X57" s="149" t="s">
        <v>937</v>
      </c>
      <c r="Y57" s="147" t="s">
        <v>677</v>
      </c>
      <c r="Z57" s="147" t="s">
        <v>557</v>
      </c>
      <c r="AA57" s="147" t="s">
        <v>11</v>
      </c>
      <c r="AB57" s="147" t="s">
        <v>938</v>
      </c>
      <c r="AC57" s="147">
        <v>1.0</v>
      </c>
      <c r="AD57" s="147">
        <v>2.0</v>
      </c>
      <c r="AE57" s="147">
        <v>1.0</v>
      </c>
      <c r="AF57" s="147">
        <v>2.0</v>
      </c>
    </row>
    <row r="58" ht="15.75" customHeight="1">
      <c r="A58" s="141">
        <v>183.1</v>
      </c>
      <c r="B58" s="142" t="s">
        <v>52</v>
      </c>
      <c r="C58" s="143" t="str">
        <f>HYPERLINK("https://azurlane.koumakan.jp/Isuzu#Retrofit","Isuzu (R)")</f>
        <v>Isuzu (R)</v>
      </c>
      <c r="D58" s="142" t="s">
        <v>28</v>
      </c>
      <c r="E58" s="145">
        <v>3529.0</v>
      </c>
      <c r="F58" s="145">
        <v>121.0</v>
      </c>
      <c r="G58" s="145">
        <v>233.0</v>
      </c>
      <c r="H58" s="145">
        <v>0.0</v>
      </c>
      <c r="I58" s="145">
        <v>400.0</v>
      </c>
      <c r="J58" s="145">
        <v>178.0</v>
      </c>
      <c r="K58" s="145">
        <v>119.0</v>
      </c>
      <c r="L58" s="145" t="s">
        <v>29</v>
      </c>
      <c r="M58" s="145">
        <v>36.0</v>
      </c>
      <c r="N58" s="145">
        <v>164.0</v>
      </c>
      <c r="O58" s="145">
        <v>33.0</v>
      </c>
      <c r="P58" s="145">
        <v>135.0</v>
      </c>
      <c r="Q58" s="145">
        <v>9.0</v>
      </c>
      <c r="R58" s="145">
        <v>0.0</v>
      </c>
      <c r="S58" s="145">
        <v>0.0</v>
      </c>
      <c r="T58" s="147" t="s">
        <v>143</v>
      </c>
      <c r="U58" s="161" t="s">
        <v>590</v>
      </c>
      <c r="V58" s="149" t="s">
        <v>551</v>
      </c>
      <c r="W58" s="164" t="s">
        <v>939</v>
      </c>
      <c r="X58" s="149" t="s">
        <v>937</v>
      </c>
      <c r="Y58" s="147" t="s">
        <v>677</v>
      </c>
      <c r="Z58" s="147" t="s">
        <v>557</v>
      </c>
      <c r="AA58" s="147" t="s">
        <v>11</v>
      </c>
      <c r="AB58" s="147" t="s">
        <v>940</v>
      </c>
      <c r="AC58" s="147">
        <v>1.0</v>
      </c>
      <c r="AD58" s="147">
        <v>2.0</v>
      </c>
      <c r="AE58" s="147">
        <v>1.0</v>
      </c>
      <c r="AF58" s="147">
        <v>2.0</v>
      </c>
    </row>
    <row r="59" ht="15.75" customHeight="1">
      <c r="A59" s="277">
        <v>185.0</v>
      </c>
      <c r="B59" s="262" t="s">
        <v>52</v>
      </c>
      <c r="C59" s="171" t="s">
        <v>163</v>
      </c>
      <c r="D59" s="170" t="s">
        <v>28</v>
      </c>
      <c r="E59" s="262">
        <v>2965.0</v>
      </c>
      <c r="F59" s="262">
        <v>148.0</v>
      </c>
      <c r="G59" s="262">
        <v>296.0</v>
      </c>
      <c r="H59" s="262">
        <v>0.0</v>
      </c>
      <c r="I59" s="262">
        <v>310.0</v>
      </c>
      <c r="J59" s="262">
        <v>185.0</v>
      </c>
      <c r="K59" s="262">
        <v>124.0</v>
      </c>
      <c r="L59" s="262" t="s">
        <v>29</v>
      </c>
      <c r="M59" s="262">
        <v>36.0</v>
      </c>
      <c r="N59" s="262">
        <v>149.0</v>
      </c>
      <c r="O59" s="262">
        <v>40.0</v>
      </c>
      <c r="P59" s="262">
        <v>143.0</v>
      </c>
      <c r="Q59" s="262">
        <v>10.0</v>
      </c>
      <c r="R59" s="262">
        <v>0.0</v>
      </c>
      <c r="S59" s="262">
        <v>0.0</v>
      </c>
      <c r="T59" s="147" t="s">
        <v>143</v>
      </c>
      <c r="U59" s="173" t="s">
        <v>941</v>
      </c>
      <c r="V59" s="172" t="s">
        <v>942</v>
      </c>
      <c r="W59" s="162" t="s">
        <v>551</v>
      </c>
      <c r="X59" s="170" t="s">
        <v>937</v>
      </c>
      <c r="Y59" s="170" t="s">
        <v>52</v>
      </c>
      <c r="Z59" s="170" t="s">
        <v>557</v>
      </c>
      <c r="AA59" s="170" t="s">
        <v>11</v>
      </c>
      <c r="AB59" s="170" t="s">
        <v>943</v>
      </c>
      <c r="AC59" s="170">
        <v>1.0</v>
      </c>
      <c r="AD59" s="170">
        <v>2.0</v>
      </c>
      <c r="AE59" s="170">
        <v>1.0</v>
      </c>
      <c r="AF59" s="170">
        <v>1.0</v>
      </c>
    </row>
    <row r="60" ht="15.75" customHeight="1">
      <c r="A60" s="182">
        <v>186.0</v>
      </c>
      <c r="B60" s="183" t="s">
        <v>52</v>
      </c>
      <c r="C60" s="264" t="str">
        <f>HYPERLINK("https://azurlane.koumakan.jp/Kinu","Kinu")</f>
        <v>Kinu</v>
      </c>
      <c r="D60" s="170" t="s">
        <v>28</v>
      </c>
      <c r="E60" s="170">
        <v>2953.0</v>
      </c>
      <c r="F60" s="170">
        <v>150.0</v>
      </c>
      <c r="G60" s="170">
        <v>293.0</v>
      </c>
      <c r="H60" s="170">
        <v>0.0</v>
      </c>
      <c r="I60" s="170">
        <v>310.0</v>
      </c>
      <c r="J60" s="170">
        <v>183.0</v>
      </c>
      <c r="K60" s="170">
        <v>124.0</v>
      </c>
      <c r="L60" s="170" t="s">
        <v>29</v>
      </c>
      <c r="M60" s="170">
        <v>36.0</v>
      </c>
      <c r="N60" s="170">
        <v>149.0</v>
      </c>
      <c r="O60" s="170">
        <v>52.0</v>
      </c>
      <c r="P60" s="170">
        <v>125.0</v>
      </c>
      <c r="Q60" s="170">
        <v>10.0</v>
      </c>
      <c r="R60" s="170">
        <v>0.0</v>
      </c>
      <c r="S60" s="170">
        <v>0.0</v>
      </c>
      <c r="T60" s="170" t="s">
        <v>143</v>
      </c>
      <c r="U60" s="225" t="s">
        <v>944</v>
      </c>
      <c r="V60" s="183" t="s">
        <v>551</v>
      </c>
      <c r="W60" s="183" t="s">
        <v>551</v>
      </c>
      <c r="X60" s="183" t="s">
        <v>937</v>
      </c>
      <c r="Y60" s="218" t="s">
        <v>52</v>
      </c>
      <c r="Z60" s="218" t="s">
        <v>557</v>
      </c>
      <c r="AA60" s="218" t="s">
        <v>11</v>
      </c>
      <c r="AB60" s="218" t="s">
        <v>945</v>
      </c>
      <c r="AC60" s="218">
        <v>1.0</v>
      </c>
      <c r="AD60" s="218">
        <v>2.0</v>
      </c>
      <c r="AE60" s="218">
        <v>1.0</v>
      </c>
      <c r="AF60" s="218">
        <v>1.0</v>
      </c>
    </row>
    <row r="61" ht="15.75" customHeight="1">
      <c r="A61" s="182">
        <v>186.1</v>
      </c>
      <c r="B61" s="183" t="s">
        <v>52</v>
      </c>
      <c r="C61" s="264" t="str">
        <f>HYPERLINK("https://azurlane.koumakan.jp/Kinu#Retrofit","Kinu (R)")</f>
        <v>Kinu (R)</v>
      </c>
      <c r="D61" s="170" t="s">
        <v>32</v>
      </c>
      <c r="E61" s="170">
        <v>3193.0</v>
      </c>
      <c r="F61" s="170">
        <v>160.0</v>
      </c>
      <c r="G61" s="170">
        <v>358.0</v>
      </c>
      <c r="H61" s="170">
        <v>0.0</v>
      </c>
      <c r="I61" s="170">
        <v>325.0</v>
      </c>
      <c r="J61" s="170">
        <v>188.0</v>
      </c>
      <c r="K61" s="170">
        <v>124.0</v>
      </c>
      <c r="L61" s="170" t="s">
        <v>29</v>
      </c>
      <c r="M61" s="170">
        <v>36.0</v>
      </c>
      <c r="N61" s="170">
        <v>154.0</v>
      </c>
      <c r="O61" s="170">
        <v>52.0</v>
      </c>
      <c r="P61" s="170">
        <v>125.0</v>
      </c>
      <c r="Q61" s="170">
        <v>10.0</v>
      </c>
      <c r="R61" s="170">
        <v>0.0</v>
      </c>
      <c r="S61" s="170">
        <v>0.0</v>
      </c>
      <c r="T61" s="170" t="s">
        <v>143</v>
      </c>
      <c r="U61" s="225" t="s">
        <v>944</v>
      </c>
      <c r="V61" s="183" t="s">
        <v>551</v>
      </c>
      <c r="W61" s="226" t="s">
        <v>946</v>
      </c>
      <c r="X61" s="183" t="s">
        <v>937</v>
      </c>
      <c r="Y61" s="218" t="s">
        <v>52</v>
      </c>
      <c r="Z61" s="218" t="s">
        <v>557</v>
      </c>
      <c r="AA61" s="218" t="s">
        <v>11</v>
      </c>
      <c r="AB61" s="218" t="s">
        <v>947</v>
      </c>
      <c r="AC61" s="218">
        <v>1.0</v>
      </c>
      <c r="AD61" s="218">
        <v>2.0</v>
      </c>
      <c r="AE61" s="218">
        <v>1.0</v>
      </c>
      <c r="AF61" s="218">
        <v>1.0</v>
      </c>
    </row>
    <row r="62" ht="15.75" customHeight="1">
      <c r="A62" s="141">
        <v>187.0</v>
      </c>
      <c r="B62" s="142" t="s">
        <v>52</v>
      </c>
      <c r="C62" s="275" t="str">
        <f>HYPERLINK("https://azurlane.koumakan.jp/Abukuma","Abukuma")</f>
        <v>Abukuma</v>
      </c>
      <c r="D62" s="142" t="s">
        <v>40</v>
      </c>
      <c r="E62" s="145">
        <v>2959.0</v>
      </c>
      <c r="F62" s="145">
        <v>142.0</v>
      </c>
      <c r="G62" s="145">
        <v>282.0</v>
      </c>
      <c r="H62" s="145">
        <v>0.0</v>
      </c>
      <c r="I62" s="145">
        <v>284.0</v>
      </c>
      <c r="J62" s="145">
        <v>175.0</v>
      </c>
      <c r="K62" s="145">
        <v>132.0</v>
      </c>
      <c r="L62" s="145" t="s">
        <v>29</v>
      </c>
      <c r="M62" s="145">
        <v>36.0</v>
      </c>
      <c r="N62" s="145">
        <v>149.0</v>
      </c>
      <c r="O62" s="145">
        <v>43.0</v>
      </c>
      <c r="P62" s="145">
        <v>94.0</v>
      </c>
      <c r="Q62" s="145">
        <v>8.0</v>
      </c>
      <c r="R62" s="145">
        <v>0.0</v>
      </c>
      <c r="S62" s="145">
        <v>0.0</v>
      </c>
      <c r="T62" s="147" t="s">
        <v>143</v>
      </c>
      <c r="U62" s="148" t="s">
        <v>564</v>
      </c>
      <c r="V62" s="149" t="s">
        <v>551</v>
      </c>
      <c r="W62" s="149" t="s">
        <v>551</v>
      </c>
      <c r="X62" s="149" t="s">
        <v>937</v>
      </c>
      <c r="Y62" s="147" t="s">
        <v>52</v>
      </c>
      <c r="Z62" s="147" t="s">
        <v>557</v>
      </c>
      <c r="AA62" s="147" t="s">
        <v>11</v>
      </c>
      <c r="AB62" s="147" t="s">
        <v>934</v>
      </c>
      <c r="AC62" s="147">
        <v>1.0</v>
      </c>
      <c r="AD62" s="147">
        <v>2.0</v>
      </c>
      <c r="AE62" s="147">
        <v>1.0</v>
      </c>
      <c r="AF62" s="147">
        <v>1.0</v>
      </c>
    </row>
    <row r="63" ht="15.75" customHeight="1">
      <c r="A63" s="141">
        <v>187.1</v>
      </c>
      <c r="B63" s="142" t="s">
        <v>52</v>
      </c>
      <c r="C63" s="275" t="str">
        <f>HYPERLINK("https://azurlane.koumakan.jp/Abukuma#Retrofit","Abukuma (R)")</f>
        <v>Abukuma (R)</v>
      </c>
      <c r="D63" s="142" t="s">
        <v>36</v>
      </c>
      <c r="E63" s="158">
        <v>3199.0</v>
      </c>
      <c r="F63" s="145">
        <v>162.0</v>
      </c>
      <c r="G63" s="145">
        <v>347.0</v>
      </c>
      <c r="H63" s="145">
        <v>0.0</v>
      </c>
      <c r="I63" s="145">
        <v>284.0</v>
      </c>
      <c r="J63" s="145">
        <v>180.0</v>
      </c>
      <c r="K63" s="145">
        <v>132.0</v>
      </c>
      <c r="L63" s="145" t="s">
        <v>29</v>
      </c>
      <c r="M63" s="145">
        <v>36.0</v>
      </c>
      <c r="N63" s="145">
        <v>149.0</v>
      </c>
      <c r="O63" s="169">
        <v>43.0</v>
      </c>
      <c r="P63" s="145">
        <v>94.0</v>
      </c>
      <c r="Q63" s="145">
        <v>8.0</v>
      </c>
      <c r="R63" s="145">
        <v>0.0</v>
      </c>
      <c r="S63" s="145">
        <v>0.0</v>
      </c>
      <c r="T63" s="147" t="s">
        <v>143</v>
      </c>
      <c r="U63" s="148" t="s">
        <v>564</v>
      </c>
      <c r="V63" s="149" t="s">
        <v>551</v>
      </c>
      <c r="W63" s="164" t="s">
        <v>565</v>
      </c>
      <c r="X63" s="149" t="s">
        <v>937</v>
      </c>
      <c r="Y63" s="147" t="s">
        <v>52</v>
      </c>
      <c r="Z63" s="147" t="s">
        <v>557</v>
      </c>
      <c r="AA63" s="147" t="s">
        <v>11</v>
      </c>
      <c r="AB63" s="147" t="s">
        <v>948</v>
      </c>
      <c r="AC63" s="147">
        <v>1.0</v>
      </c>
      <c r="AD63" s="147">
        <v>2.0</v>
      </c>
      <c r="AE63" s="147">
        <v>1.0</v>
      </c>
      <c r="AF63" s="147">
        <v>1.0</v>
      </c>
    </row>
    <row r="64" ht="15.75" customHeight="1">
      <c r="A64" s="141">
        <v>188.0</v>
      </c>
      <c r="B64" s="142" t="s">
        <v>52</v>
      </c>
      <c r="C64" s="275" t="str">
        <f>HYPERLINK("https://azurlane.koumakan.jp/Mogami","Mogami")</f>
        <v>Mogami</v>
      </c>
      <c r="D64" s="142" t="s">
        <v>28</v>
      </c>
      <c r="E64" s="145">
        <v>4109.0</v>
      </c>
      <c r="F64" s="145">
        <v>204.0</v>
      </c>
      <c r="G64" s="145">
        <v>188.0</v>
      </c>
      <c r="H64" s="145">
        <v>0.0</v>
      </c>
      <c r="I64" s="145">
        <v>190.0</v>
      </c>
      <c r="J64" s="145">
        <v>191.0</v>
      </c>
      <c r="K64" s="145">
        <v>85.0</v>
      </c>
      <c r="L64" s="145" t="s">
        <v>71</v>
      </c>
      <c r="M64" s="145">
        <v>29.0</v>
      </c>
      <c r="N64" s="145">
        <v>153.0</v>
      </c>
      <c r="O64" s="145">
        <v>14.0</v>
      </c>
      <c r="P64" s="145">
        <v>46.0</v>
      </c>
      <c r="Q64" s="145">
        <v>11.0</v>
      </c>
      <c r="R64" s="145">
        <v>0.0</v>
      </c>
      <c r="S64" s="145">
        <v>0.0</v>
      </c>
      <c r="T64" s="147" t="s">
        <v>143</v>
      </c>
      <c r="U64" s="164" t="s">
        <v>575</v>
      </c>
      <c r="V64" s="161" t="s">
        <v>949</v>
      </c>
      <c r="W64" s="149" t="s">
        <v>551</v>
      </c>
      <c r="X64" s="149" t="s">
        <v>950</v>
      </c>
      <c r="Y64" s="147" t="s">
        <v>52</v>
      </c>
      <c r="Z64" s="147" t="s">
        <v>557</v>
      </c>
      <c r="AA64" s="147" t="s">
        <v>11</v>
      </c>
      <c r="AB64" s="147" t="s">
        <v>951</v>
      </c>
      <c r="AC64" s="147">
        <v>1.0</v>
      </c>
      <c r="AD64" s="147">
        <v>2.0</v>
      </c>
      <c r="AE64" s="147">
        <v>1.0</v>
      </c>
      <c r="AF64" s="147">
        <v>1.0</v>
      </c>
    </row>
    <row r="65" ht="15.75" customHeight="1">
      <c r="A65" s="141">
        <v>188.1</v>
      </c>
      <c r="B65" s="142" t="s">
        <v>66</v>
      </c>
      <c r="C65" s="275" t="str">
        <f>HYPERLINK("https://azurlane.koumakan.jp/Mogami#Retrofit","Mogami (R)")</f>
        <v>Mogami (R)</v>
      </c>
      <c r="D65" s="142" t="s">
        <v>32</v>
      </c>
      <c r="E65" s="158">
        <v>4724.0</v>
      </c>
      <c r="F65" s="145">
        <v>267.0</v>
      </c>
      <c r="G65" s="145">
        <v>205.0</v>
      </c>
      <c r="H65" s="145">
        <v>0.0</v>
      </c>
      <c r="I65" s="145">
        <v>237.0</v>
      </c>
      <c r="J65" s="145">
        <v>190.0</v>
      </c>
      <c r="K65" s="145">
        <v>83.0</v>
      </c>
      <c r="L65" s="145" t="s">
        <v>71</v>
      </c>
      <c r="M65" s="145">
        <v>29.0</v>
      </c>
      <c r="N65" s="145">
        <v>132.0</v>
      </c>
      <c r="O65" s="169">
        <v>14.0</v>
      </c>
      <c r="P65" s="145">
        <v>0.0</v>
      </c>
      <c r="Q65" s="145">
        <v>11.0</v>
      </c>
      <c r="R65" s="145">
        <v>0.0</v>
      </c>
      <c r="S65" s="145">
        <v>0.0</v>
      </c>
      <c r="T65" s="147" t="s">
        <v>143</v>
      </c>
      <c r="U65" s="164" t="s">
        <v>575</v>
      </c>
      <c r="V65" s="161" t="s">
        <v>949</v>
      </c>
      <c r="W65" s="164" t="s">
        <v>1183</v>
      </c>
      <c r="X65" s="149" t="s">
        <v>950</v>
      </c>
      <c r="Y65" s="147" t="s">
        <v>66</v>
      </c>
      <c r="Z65" s="147" t="s">
        <v>557</v>
      </c>
      <c r="AA65" s="147" t="s">
        <v>11</v>
      </c>
      <c r="AB65" s="147" t="s">
        <v>1184</v>
      </c>
      <c r="AC65" s="147">
        <v>2.0</v>
      </c>
      <c r="AD65" s="147">
        <v>1.0</v>
      </c>
      <c r="AE65" s="147">
        <v>1.0</v>
      </c>
      <c r="AF65" s="147">
        <v>1.0</v>
      </c>
    </row>
    <row r="66" ht="15.75" customHeight="1">
      <c r="A66" s="141">
        <v>189.0</v>
      </c>
      <c r="B66" s="142" t="s">
        <v>52</v>
      </c>
      <c r="C66" s="275" t="str">
        <f>HYPERLINK("https://azurlane.koumakan.jp/Mikuma","Mikuma")</f>
        <v>Mikuma</v>
      </c>
      <c r="D66" s="142" t="s">
        <v>28</v>
      </c>
      <c r="E66" s="145">
        <v>4109.0</v>
      </c>
      <c r="F66" s="145">
        <v>204.0</v>
      </c>
      <c r="G66" s="145">
        <v>190.0</v>
      </c>
      <c r="H66" s="145">
        <v>0.0</v>
      </c>
      <c r="I66" s="145">
        <v>190.0</v>
      </c>
      <c r="J66" s="145">
        <v>191.0</v>
      </c>
      <c r="K66" s="145">
        <v>85.0</v>
      </c>
      <c r="L66" s="145" t="s">
        <v>71</v>
      </c>
      <c r="M66" s="145">
        <v>29.0</v>
      </c>
      <c r="N66" s="145">
        <v>153.0</v>
      </c>
      <c r="O66" s="145">
        <v>13.0</v>
      </c>
      <c r="P66" s="145">
        <v>46.0</v>
      </c>
      <c r="Q66" s="145">
        <v>11.0</v>
      </c>
      <c r="R66" s="145">
        <v>0.0</v>
      </c>
      <c r="S66" s="145">
        <v>0.0</v>
      </c>
      <c r="T66" s="147" t="s">
        <v>143</v>
      </c>
      <c r="U66" s="161" t="s">
        <v>602</v>
      </c>
      <c r="V66" s="161" t="s">
        <v>949</v>
      </c>
      <c r="W66" s="149" t="s">
        <v>551</v>
      </c>
      <c r="X66" s="149" t="s">
        <v>950</v>
      </c>
      <c r="Y66" s="147" t="s">
        <v>52</v>
      </c>
      <c r="Z66" s="147" t="s">
        <v>557</v>
      </c>
      <c r="AA66" s="147" t="s">
        <v>11</v>
      </c>
      <c r="AB66" s="147" t="s">
        <v>951</v>
      </c>
      <c r="AC66" s="147">
        <v>1.0</v>
      </c>
      <c r="AD66" s="147">
        <v>2.0</v>
      </c>
      <c r="AE66" s="147">
        <v>1.0</v>
      </c>
      <c r="AF66" s="147">
        <v>1.0</v>
      </c>
    </row>
    <row r="67" ht="15.75" customHeight="1">
      <c r="A67" s="141">
        <v>190.0</v>
      </c>
      <c r="B67" s="142" t="s">
        <v>66</v>
      </c>
      <c r="C67" s="275" t="str">
        <f>HYPERLINK("https://azurlane.koumakan.jp/Furutaka","Furutaka")</f>
        <v>Furutaka</v>
      </c>
      <c r="D67" s="142" t="s">
        <v>40</v>
      </c>
      <c r="E67" s="145">
        <v>3518.0</v>
      </c>
      <c r="F67" s="145">
        <v>218.0</v>
      </c>
      <c r="G67" s="145">
        <v>193.0</v>
      </c>
      <c r="H67" s="145">
        <v>0.0</v>
      </c>
      <c r="I67" s="145">
        <v>164.0</v>
      </c>
      <c r="J67" s="145">
        <v>166.0</v>
      </c>
      <c r="K67" s="145">
        <v>78.0</v>
      </c>
      <c r="L67" s="145" t="s">
        <v>71</v>
      </c>
      <c r="M67" s="145">
        <v>31.0</v>
      </c>
      <c r="N67" s="145">
        <v>114.0</v>
      </c>
      <c r="O67" s="145">
        <v>34.0</v>
      </c>
      <c r="P67" s="145">
        <v>0.0</v>
      </c>
      <c r="Q67" s="145">
        <v>9.0</v>
      </c>
      <c r="R67" s="145">
        <v>0.0</v>
      </c>
      <c r="S67" s="145">
        <v>0.0</v>
      </c>
      <c r="T67" s="147" t="s">
        <v>143</v>
      </c>
      <c r="U67" s="164" t="s">
        <v>575</v>
      </c>
      <c r="V67" s="149" t="s">
        <v>551</v>
      </c>
      <c r="W67" s="149" t="s">
        <v>551</v>
      </c>
      <c r="X67" s="149" t="s">
        <v>1185</v>
      </c>
      <c r="Y67" s="147" t="s">
        <v>66</v>
      </c>
      <c r="Z67" s="147" t="s">
        <v>557</v>
      </c>
      <c r="AA67" s="147" t="s">
        <v>11</v>
      </c>
      <c r="AB67" s="147" t="s">
        <v>1186</v>
      </c>
      <c r="AC67" s="147">
        <v>1.0</v>
      </c>
      <c r="AD67" s="147">
        <v>2.0</v>
      </c>
      <c r="AE67" s="147">
        <v>1.0</v>
      </c>
      <c r="AF67" s="147">
        <v>1.0</v>
      </c>
    </row>
    <row r="68" ht="15.75" customHeight="1">
      <c r="A68" s="141">
        <v>190.1</v>
      </c>
      <c r="B68" s="142" t="s">
        <v>66</v>
      </c>
      <c r="C68" s="275" t="str">
        <f>HYPERLINK("https://azurlane.koumakan.jp/Furutaka#Retrofit","Furutaka (R)")</f>
        <v>Furutaka (R)</v>
      </c>
      <c r="D68" s="142" t="s">
        <v>36</v>
      </c>
      <c r="E68" s="158">
        <v>3798.0</v>
      </c>
      <c r="F68" s="145">
        <v>248.0</v>
      </c>
      <c r="G68" s="145">
        <v>238.0</v>
      </c>
      <c r="H68" s="145">
        <v>0.0</v>
      </c>
      <c r="I68" s="145">
        <v>179.0</v>
      </c>
      <c r="J68" s="145">
        <v>171.0</v>
      </c>
      <c r="K68" s="145">
        <v>78.0</v>
      </c>
      <c r="L68" s="145" t="s">
        <v>71</v>
      </c>
      <c r="M68" s="145">
        <v>31.0</v>
      </c>
      <c r="N68" s="145">
        <v>114.0</v>
      </c>
      <c r="O68" s="169">
        <v>34.0</v>
      </c>
      <c r="P68" s="145">
        <v>0.0</v>
      </c>
      <c r="Q68" s="145">
        <v>9.0</v>
      </c>
      <c r="R68" s="145">
        <v>0.0</v>
      </c>
      <c r="S68" s="145">
        <v>0.0</v>
      </c>
      <c r="T68" s="147" t="s">
        <v>143</v>
      </c>
      <c r="U68" s="164" t="s">
        <v>575</v>
      </c>
      <c r="V68" s="149" t="s">
        <v>551</v>
      </c>
      <c r="W68" s="164" t="s">
        <v>565</v>
      </c>
      <c r="X68" s="149" t="s">
        <v>1185</v>
      </c>
      <c r="Y68" s="147" t="s">
        <v>66</v>
      </c>
      <c r="Z68" s="147" t="s">
        <v>557</v>
      </c>
      <c r="AA68" s="147" t="s">
        <v>11</v>
      </c>
      <c r="AB68" s="147" t="s">
        <v>1187</v>
      </c>
      <c r="AC68" s="147">
        <v>1.0</v>
      </c>
      <c r="AD68" s="147">
        <v>2.0</v>
      </c>
      <c r="AE68" s="147">
        <v>1.0</v>
      </c>
      <c r="AF68" s="147">
        <v>1.0</v>
      </c>
    </row>
    <row r="69" ht="15.75" customHeight="1">
      <c r="A69" s="141">
        <v>191.0</v>
      </c>
      <c r="B69" s="142" t="s">
        <v>66</v>
      </c>
      <c r="C69" s="275" t="str">
        <f>HYPERLINK("https://azurlane.koumakan.jp/Kako","Kako")</f>
        <v>Kako</v>
      </c>
      <c r="D69" s="142" t="s">
        <v>40</v>
      </c>
      <c r="E69" s="145">
        <v>3518.0</v>
      </c>
      <c r="F69" s="145">
        <v>218.0</v>
      </c>
      <c r="G69" s="145">
        <v>193.0</v>
      </c>
      <c r="H69" s="145">
        <v>0.0</v>
      </c>
      <c r="I69" s="145">
        <v>164.0</v>
      </c>
      <c r="J69" s="145">
        <v>166.0</v>
      </c>
      <c r="K69" s="145">
        <v>78.0</v>
      </c>
      <c r="L69" s="145" t="s">
        <v>71</v>
      </c>
      <c r="M69" s="145">
        <v>31.0</v>
      </c>
      <c r="N69" s="145">
        <v>114.0</v>
      </c>
      <c r="O69" s="145">
        <v>34.0</v>
      </c>
      <c r="P69" s="145">
        <v>0.0</v>
      </c>
      <c r="Q69" s="145">
        <v>9.0</v>
      </c>
      <c r="R69" s="145">
        <v>0.0</v>
      </c>
      <c r="S69" s="145">
        <v>0.0</v>
      </c>
      <c r="T69" s="147" t="s">
        <v>143</v>
      </c>
      <c r="U69" s="164" t="s">
        <v>575</v>
      </c>
      <c r="V69" s="149" t="s">
        <v>551</v>
      </c>
      <c r="W69" s="149" t="s">
        <v>551</v>
      </c>
      <c r="X69" s="149" t="s">
        <v>1185</v>
      </c>
      <c r="Y69" s="147" t="s">
        <v>66</v>
      </c>
      <c r="Z69" s="147" t="s">
        <v>557</v>
      </c>
      <c r="AA69" s="147" t="s">
        <v>11</v>
      </c>
      <c r="AB69" s="147" t="s">
        <v>1186</v>
      </c>
      <c r="AC69" s="147">
        <v>1.0</v>
      </c>
      <c r="AD69" s="147">
        <v>2.0</v>
      </c>
      <c r="AE69" s="147">
        <v>1.0</v>
      </c>
      <c r="AF69" s="147">
        <v>1.0</v>
      </c>
    </row>
    <row r="70" ht="15.75" customHeight="1">
      <c r="A70" s="141">
        <v>191.1</v>
      </c>
      <c r="B70" s="185" t="s">
        <v>66</v>
      </c>
      <c r="C70" s="278" t="str">
        <f>HYPERLINK("https://azurlane.koumakan.jp/Kako#Retrofit","Kako (R)")</f>
        <v>Kako (R)</v>
      </c>
      <c r="D70" s="142" t="s">
        <v>36</v>
      </c>
      <c r="E70" s="158">
        <v>3798.0</v>
      </c>
      <c r="F70" s="145">
        <v>248.0</v>
      </c>
      <c r="G70" s="145">
        <v>238.0</v>
      </c>
      <c r="H70" s="145">
        <v>0.0</v>
      </c>
      <c r="I70" s="145">
        <v>179.0</v>
      </c>
      <c r="J70" s="145">
        <v>171.0</v>
      </c>
      <c r="K70" s="145">
        <v>78.0</v>
      </c>
      <c r="L70" s="145" t="s">
        <v>71</v>
      </c>
      <c r="M70" s="145">
        <v>31.0</v>
      </c>
      <c r="N70" s="145">
        <v>114.0</v>
      </c>
      <c r="O70" s="169">
        <v>34.0</v>
      </c>
      <c r="P70" s="145">
        <v>0.0</v>
      </c>
      <c r="Q70" s="145">
        <v>9.0</v>
      </c>
      <c r="R70" s="145">
        <v>0.0</v>
      </c>
      <c r="S70" s="145">
        <v>0.0</v>
      </c>
      <c r="T70" s="147" t="s">
        <v>143</v>
      </c>
      <c r="U70" s="164" t="s">
        <v>575</v>
      </c>
      <c r="V70" s="149" t="s">
        <v>551</v>
      </c>
      <c r="W70" s="164" t="s">
        <v>565</v>
      </c>
      <c r="X70" s="149" t="s">
        <v>1185</v>
      </c>
      <c r="Y70" s="147" t="s">
        <v>66</v>
      </c>
      <c r="Z70" s="147" t="s">
        <v>557</v>
      </c>
      <c r="AA70" s="147" t="s">
        <v>11</v>
      </c>
      <c r="AB70" s="147" t="s">
        <v>1187</v>
      </c>
      <c r="AC70" s="147">
        <v>1.0</v>
      </c>
      <c r="AD70" s="147">
        <v>2.0</v>
      </c>
      <c r="AE70" s="147">
        <v>1.0</v>
      </c>
      <c r="AF70" s="147">
        <v>1.0</v>
      </c>
    </row>
    <row r="71" ht="15.75" customHeight="1">
      <c r="A71" s="141">
        <v>192.0</v>
      </c>
      <c r="B71" s="142" t="s">
        <v>66</v>
      </c>
      <c r="C71" s="275" t="str">
        <f>HYPERLINK("https://azurlane.koumakan.jp/Aoba","Aoba")</f>
        <v>Aoba</v>
      </c>
      <c r="D71" s="142" t="s">
        <v>40</v>
      </c>
      <c r="E71" s="145">
        <v>3610.0</v>
      </c>
      <c r="F71" s="145">
        <v>218.0</v>
      </c>
      <c r="G71" s="145">
        <v>193.0</v>
      </c>
      <c r="H71" s="145">
        <v>0.0</v>
      </c>
      <c r="I71" s="145">
        <v>171.0</v>
      </c>
      <c r="J71" s="145">
        <v>166.0</v>
      </c>
      <c r="K71" s="145">
        <v>78.0</v>
      </c>
      <c r="L71" s="145" t="s">
        <v>71</v>
      </c>
      <c r="M71" s="145">
        <v>32.0</v>
      </c>
      <c r="N71" s="145">
        <v>114.0</v>
      </c>
      <c r="O71" s="145">
        <v>52.0</v>
      </c>
      <c r="P71" s="145">
        <v>0.0</v>
      </c>
      <c r="Q71" s="145">
        <v>9.0</v>
      </c>
      <c r="R71" s="145">
        <v>0.0</v>
      </c>
      <c r="S71" s="145">
        <v>0.0</v>
      </c>
      <c r="T71" s="147" t="s">
        <v>143</v>
      </c>
      <c r="U71" s="164" t="s">
        <v>575</v>
      </c>
      <c r="V71" s="149" t="s">
        <v>551</v>
      </c>
      <c r="W71" s="149" t="s">
        <v>551</v>
      </c>
      <c r="X71" s="149" t="s">
        <v>1188</v>
      </c>
      <c r="Y71" s="147" t="s">
        <v>66</v>
      </c>
      <c r="Z71" s="147" t="s">
        <v>557</v>
      </c>
      <c r="AA71" s="147" t="s">
        <v>11</v>
      </c>
      <c r="AB71" s="147" t="s">
        <v>1189</v>
      </c>
      <c r="AC71" s="147">
        <v>1.0</v>
      </c>
      <c r="AD71" s="147">
        <v>2.0</v>
      </c>
      <c r="AE71" s="147">
        <v>1.0</v>
      </c>
      <c r="AF71" s="147">
        <v>1.0</v>
      </c>
    </row>
    <row r="72" ht="15.75" customHeight="1">
      <c r="A72" s="141">
        <v>193.0</v>
      </c>
      <c r="B72" s="142" t="s">
        <v>66</v>
      </c>
      <c r="C72" s="275" t="str">
        <f>HYPERLINK("https://azurlane.koumakan.jp/Kinugasa","Kinugasa")</f>
        <v>Kinugasa</v>
      </c>
      <c r="D72" s="142" t="s">
        <v>40</v>
      </c>
      <c r="E72" s="145">
        <v>3610.0</v>
      </c>
      <c r="F72" s="145">
        <v>218.0</v>
      </c>
      <c r="G72" s="145">
        <v>193.0</v>
      </c>
      <c r="H72" s="145">
        <v>0.0</v>
      </c>
      <c r="I72" s="145">
        <v>171.0</v>
      </c>
      <c r="J72" s="145">
        <v>166.0</v>
      </c>
      <c r="K72" s="145">
        <v>78.0</v>
      </c>
      <c r="L72" s="145" t="s">
        <v>71</v>
      </c>
      <c r="M72" s="145">
        <v>32.0</v>
      </c>
      <c r="N72" s="145">
        <v>114.0</v>
      </c>
      <c r="O72" s="145">
        <v>65.0</v>
      </c>
      <c r="P72" s="145">
        <v>0.0</v>
      </c>
      <c r="Q72" s="145">
        <v>9.0</v>
      </c>
      <c r="R72" s="145">
        <v>0.0</v>
      </c>
      <c r="S72" s="145">
        <v>0.0</v>
      </c>
      <c r="T72" s="147" t="s">
        <v>143</v>
      </c>
      <c r="U72" s="164" t="s">
        <v>575</v>
      </c>
      <c r="V72" s="149" t="s">
        <v>551</v>
      </c>
      <c r="W72" s="149" t="s">
        <v>551</v>
      </c>
      <c r="X72" s="149" t="s">
        <v>1188</v>
      </c>
      <c r="Y72" s="147" t="s">
        <v>66</v>
      </c>
      <c r="Z72" s="147" t="s">
        <v>557</v>
      </c>
      <c r="AA72" s="147" t="s">
        <v>11</v>
      </c>
      <c r="AB72" s="147" t="s">
        <v>1189</v>
      </c>
      <c r="AC72" s="147">
        <v>1.0</v>
      </c>
      <c r="AD72" s="147">
        <v>2.0</v>
      </c>
      <c r="AE72" s="147">
        <v>1.0</v>
      </c>
      <c r="AF72" s="147">
        <v>1.0</v>
      </c>
    </row>
    <row r="73" ht="15.75" customHeight="1">
      <c r="A73" s="277">
        <v>195.0</v>
      </c>
      <c r="B73" s="262" t="s">
        <v>66</v>
      </c>
      <c r="C73" s="171" t="s">
        <v>167</v>
      </c>
      <c r="D73" s="170" t="s">
        <v>32</v>
      </c>
      <c r="E73" s="262">
        <v>4493.0</v>
      </c>
      <c r="F73" s="262">
        <v>266.0</v>
      </c>
      <c r="G73" s="262">
        <v>251.0</v>
      </c>
      <c r="H73" s="262">
        <v>0.0</v>
      </c>
      <c r="I73" s="262">
        <v>193.0</v>
      </c>
      <c r="J73" s="262">
        <v>183.0</v>
      </c>
      <c r="K73" s="262">
        <v>78.0</v>
      </c>
      <c r="L73" s="262" t="s">
        <v>71</v>
      </c>
      <c r="M73" s="262">
        <v>28.0</v>
      </c>
      <c r="N73" s="262">
        <v>120.0</v>
      </c>
      <c r="O73" s="262">
        <v>42.0</v>
      </c>
      <c r="P73" s="262">
        <v>0.0</v>
      </c>
      <c r="Q73" s="262">
        <v>12.0</v>
      </c>
      <c r="R73" s="262">
        <v>0.0</v>
      </c>
      <c r="S73" s="262">
        <v>0.0</v>
      </c>
      <c r="T73" s="147" t="s">
        <v>143</v>
      </c>
      <c r="U73" s="173" t="s">
        <v>1190</v>
      </c>
      <c r="V73" s="181" t="s">
        <v>1191</v>
      </c>
      <c r="W73" s="170" t="s">
        <v>551</v>
      </c>
      <c r="X73" s="170" t="s">
        <v>1192</v>
      </c>
      <c r="Y73" s="170" t="s">
        <v>66</v>
      </c>
      <c r="Z73" s="170" t="s">
        <v>557</v>
      </c>
      <c r="AA73" s="170" t="s">
        <v>11</v>
      </c>
      <c r="AB73" s="170" t="s">
        <v>1193</v>
      </c>
      <c r="AC73" s="170">
        <v>1.0</v>
      </c>
      <c r="AD73" s="170">
        <v>2.0</v>
      </c>
      <c r="AE73" s="170">
        <v>1.0</v>
      </c>
      <c r="AF73" s="170">
        <v>1.0</v>
      </c>
    </row>
    <row r="74" ht="15.75" customHeight="1">
      <c r="A74" s="141">
        <v>196.0</v>
      </c>
      <c r="B74" s="142" t="s">
        <v>66</v>
      </c>
      <c r="C74" s="275" t="str">
        <f>HYPERLINK("https://azurlane.koumakan.jp/Myoukou","Myoukou")</f>
        <v>Myoukou</v>
      </c>
      <c r="D74" s="142" t="s">
        <v>36</v>
      </c>
      <c r="E74" s="145">
        <v>5339.0</v>
      </c>
      <c r="F74" s="145">
        <v>199.0</v>
      </c>
      <c r="G74" s="145">
        <v>152.0</v>
      </c>
      <c r="H74" s="145">
        <v>0.0</v>
      </c>
      <c r="I74" s="145">
        <v>198.0</v>
      </c>
      <c r="J74" s="145">
        <v>166.0</v>
      </c>
      <c r="K74" s="145">
        <v>80.0</v>
      </c>
      <c r="L74" s="145" t="s">
        <v>71</v>
      </c>
      <c r="M74" s="145">
        <v>32.0</v>
      </c>
      <c r="N74" s="145">
        <v>128.0</v>
      </c>
      <c r="O74" s="145">
        <v>62.0</v>
      </c>
      <c r="P74" s="145">
        <v>0.0</v>
      </c>
      <c r="Q74" s="145">
        <v>10.0</v>
      </c>
      <c r="R74" s="145">
        <v>0.0</v>
      </c>
      <c r="S74" s="145">
        <v>0.0</v>
      </c>
      <c r="T74" s="147" t="s">
        <v>143</v>
      </c>
      <c r="U74" s="161" t="s">
        <v>1194</v>
      </c>
      <c r="V74" s="149" t="s">
        <v>551</v>
      </c>
      <c r="W74" s="149" t="s">
        <v>551</v>
      </c>
      <c r="X74" s="149" t="s">
        <v>1195</v>
      </c>
      <c r="Y74" s="147" t="s">
        <v>66</v>
      </c>
      <c r="Z74" s="147" t="s">
        <v>557</v>
      </c>
      <c r="AA74" s="147" t="s">
        <v>11</v>
      </c>
      <c r="AB74" s="147" t="s">
        <v>1189</v>
      </c>
      <c r="AC74" s="147">
        <v>1.0</v>
      </c>
      <c r="AD74" s="147">
        <v>2.0</v>
      </c>
      <c r="AE74" s="147">
        <v>1.0</v>
      </c>
      <c r="AF74" s="147">
        <v>1.0</v>
      </c>
    </row>
    <row r="75" ht="15.75" customHeight="1">
      <c r="A75" s="141">
        <v>197.0</v>
      </c>
      <c r="B75" s="142" t="s">
        <v>66</v>
      </c>
      <c r="C75" s="275" t="str">
        <f>HYPERLINK("https://azurlane.koumakan.jp/Nachi","Nachi")</f>
        <v>Nachi</v>
      </c>
      <c r="D75" s="142" t="s">
        <v>36</v>
      </c>
      <c r="E75" s="145">
        <v>5229.0</v>
      </c>
      <c r="F75" s="145">
        <v>199.0</v>
      </c>
      <c r="G75" s="145">
        <v>152.0</v>
      </c>
      <c r="H75" s="145">
        <v>0.0</v>
      </c>
      <c r="I75" s="145">
        <v>198.0</v>
      </c>
      <c r="J75" s="145">
        <v>166.0</v>
      </c>
      <c r="K75" s="145">
        <v>80.0</v>
      </c>
      <c r="L75" s="145" t="s">
        <v>71</v>
      </c>
      <c r="M75" s="145">
        <v>32.0</v>
      </c>
      <c r="N75" s="145">
        <v>128.0</v>
      </c>
      <c r="O75" s="145">
        <v>58.0</v>
      </c>
      <c r="P75" s="145">
        <v>0.0</v>
      </c>
      <c r="Q75" s="145">
        <v>10.0</v>
      </c>
      <c r="R75" s="145">
        <v>0.0</v>
      </c>
      <c r="S75" s="145">
        <v>0.0</v>
      </c>
      <c r="T75" s="147" t="s">
        <v>143</v>
      </c>
      <c r="U75" s="161" t="s">
        <v>1194</v>
      </c>
      <c r="V75" s="149" t="s">
        <v>551</v>
      </c>
      <c r="W75" s="149" t="s">
        <v>551</v>
      </c>
      <c r="X75" s="149" t="s">
        <v>1195</v>
      </c>
      <c r="Y75" s="147" t="s">
        <v>66</v>
      </c>
      <c r="Z75" s="147" t="s">
        <v>557</v>
      </c>
      <c r="AA75" s="147" t="s">
        <v>11</v>
      </c>
      <c r="AB75" s="147" t="s">
        <v>1189</v>
      </c>
      <c r="AC75" s="147">
        <v>1.0</v>
      </c>
      <c r="AD75" s="147">
        <v>2.0</v>
      </c>
      <c r="AE75" s="147">
        <v>1.0</v>
      </c>
      <c r="AF75" s="147">
        <v>1.0</v>
      </c>
    </row>
    <row r="76" ht="15.75" customHeight="1">
      <c r="A76" s="141">
        <v>198.0</v>
      </c>
      <c r="B76" s="142" t="s">
        <v>66</v>
      </c>
      <c r="C76" s="275" t="str">
        <f>HYPERLINK("https://azurlane.koumakan.jp/Ashigara","Ashigara")</f>
        <v>Ashigara</v>
      </c>
      <c r="D76" s="142" t="s">
        <v>28</v>
      </c>
      <c r="E76" s="145">
        <v>4256.0</v>
      </c>
      <c r="F76" s="145">
        <v>237.0</v>
      </c>
      <c r="G76" s="145">
        <v>226.0</v>
      </c>
      <c r="H76" s="145">
        <v>0.0</v>
      </c>
      <c r="I76" s="145">
        <v>174.0</v>
      </c>
      <c r="J76" s="145">
        <v>171.0</v>
      </c>
      <c r="K76" s="145">
        <v>78.0</v>
      </c>
      <c r="L76" s="145" t="s">
        <v>71</v>
      </c>
      <c r="M76" s="145">
        <v>28.0</v>
      </c>
      <c r="N76" s="145">
        <v>128.0</v>
      </c>
      <c r="O76" s="145">
        <v>60.0</v>
      </c>
      <c r="P76" s="145">
        <v>0.0</v>
      </c>
      <c r="Q76" s="145">
        <v>11.0</v>
      </c>
      <c r="R76" s="145">
        <v>0.0</v>
      </c>
      <c r="S76" s="145">
        <v>0.0</v>
      </c>
      <c r="T76" s="147" t="s">
        <v>143</v>
      </c>
      <c r="U76" s="164" t="s">
        <v>1196</v>
      </c>
      <c r="V76" s="149" t="s">
        <v>551</v>
      </c>
      <c r="W76" s="149" t="s">
        <v>551</v>
      </c>
      <c r="X76" s="149" t="s">
        <v>1195</v>
      </c>
      <c r="Y76" s="147" t="s">
        <v>66</v>
      </c>
      <c r="Z76" s="147" t="s">
        <v>557</v>
      </c>
      <c r="AA76" s="147" t="s">
        <v>11</v>
      </c>
      <c r="AB76" s="147" t="s">
        <v>1189</v>
      </c>
      <c r="AC76" s="147">
        <v>1.0</v>
      </c>
      <c r="AD76" s="147">
        <v>2.0</v>
      </c>
      <c r="AE76" s="147">
        <v>1.0</v>
      </c>
      <c r="AF76" s="147">
        <v>1.0</v>
      </c>
    </row>
    <row r="77" ht="15.75" customHeight="1">
      <c r="A77" s="141">
        <v>200.0</v>
      </c>
      <c r="B77" s="142" t="s">
        <v>66</v>
      </c>
      <c r="C77" s="275" t="str">
        <f>HYPERLINK("https://azurlane.koumakan.jp/Takao","Takao")</f>
        <v>Takao</v>
      </c>
      <c r="D77" s="142" t="s">
        <v>32</v>
      </c>
      <c r="E77" s="165">
        <v>4394.0</v>
      </c>
      <c r="F77" s="145">
        <v>274.0</v>
      </c>
      <c r="G77" s="145">
        <v>248.0</v>
      </c>
      <c r="H77" s="145">
        <v>0.0</v>
      </c>
      <c r="I77" s="145">
        <v>182.0</v>
      </c>
      <c r="J77" s="145">
        <v>177.0</v>
      </c>
      <c r="K77" s="145">
        <v>82.0</v>
      </c>
      <c r="L77" s="145" t="s">
        <v>71</v>
      </c>
      <c r="M77" s="145">
        <v>31.0</v>
      </c>
      <c r="N77" s="145">
        <v>137.0</v>
      </c>
      <c r="O77" s="145">
        <v>65.0</v>
      </c>
      <c r="P77" s="145">
        <v>0.0</v>
      </c>
      <c r="Q77" s="145">
        <v>12.0</v>
      </c>
      <c r="R77" s="145">
        <v>0.0</v>
      </c>
      <c r="S77" s="145">
        <v>0.0</v>
      </c>
      <c r="T77" s="147" t="s">
        <v>143</v>
      </c>
      <c r="U77" s="164" t="s">
        <v>1145</v>
      </c>
      <c r="V77" s="164" t="s">
        <v>565</v>
      </c>
      <c r="W77" s="149" t="s">
        <v>551</v>
      </c>
      <c r="X77" s="149" t="s">
        <v>1197</v>
      </c>
      <c r="Y77" s="147" t="s">
        <v>66</v>
      </c>
      <c r="Z77" s="147" t="s">
        <v>557</v>
      </c>
      <c r="AA77" s="147" t="s">
        <v>11</v>
      </c>
      <c r="AB77" s="147" t="s">
        <v>1198</v>
      </c>
      <c r="AC77" s="147">
        <v>1.0</v>
      </c>
      <c r="AD77" s="147">
        <v>2.0</v>
      </c>
      <c r="AE77" s="147">
        <v>1.0</v>
      </c>
      <c r="AF77" s="147">
        <v>1.0</v>
      </c>
    </row>
    <row r="78" ht="15.75" customHeight="1">
      <c r="A78" s="141">
        <v>201.0</v>
      </c>
      <c r="B78" s="142" t="s">
        <v>66</v>
      </c>
      <c r="C78" s="275" t="str">
        <f>HYPERLINK("https://azurlane.koumakan.jp/Atago","Atago")</f>
        <v>Atago</v>
      </c>
      <c r="D78" s="142" t="s">
        <v>32</v>
      </c>
      <c r="E78" s="165">
        <v>4394.0</v>
      </c>
      <c r="F78" s="145">
        <v>274.0</v>
      </c>
      <c r="G78" s="145">
        <v>248.0</v>
      </c>
      <c r="H78" s="145">
        <v>0.0</v>
      </c>
      <c r="I78" s="145">
        <v>182.0</v>
      </c>
      <c r="J78" s="145">
        <v>177.0</v>
      </c>
      <c r="K78" s="145">
        <v>82.0</v>
      </c>
      <c r="L78" s="145" t="s">
        <v>71</v>
      </c>
      <c r="M78" s="145">
        <v>31.0</v>
      </c>
      <c r="N78" s="145">
        <v>137.0</v>
      </c>
      <c r="O78" s="145">
        <v>48.0</v>
      </c>
      <c r="P78" s="145">
        <v>0.0</v>
      </c>
      <c r="Q78" s="145">
        <v>12.0</v>
      </c>
      <c r="R78" s="145">
        <v>0.0</v>
      </c>
      <c r="S78" s="145">
        <v>0.0</v>
      </c>
      <c r="T78" s="147" t="s">
        <v>143</v>
      </c>
      <c r="U78" s="164" t="s">
        <v>1199</v>
      </c>
      <c r="V78" s="164" t="s">
        <v>565</v>
      </c>
      <c r="W78" s="149" t="s">
        <v>551</v>
      </c>
      <c r="X78" s="149" t="s">
        <v>1197</v>
      </c>
      <c r="Y78" s="147" t="s">
        <v>66</v>
      </c>
      <c r="Z78" s="147" t="s">
        <v>557</v>
      </c>
      <c r="AA78" s="147" t="s">
        <v>11</v>
      </c>
      <c r="AB78" s="147" t="s">
        <v>1200</v>
      </c>
      <c r="AC78" s="147">
        <v>1.0</v>
      </c>
      <c r="AD78" s="147">
        <v>2.0</v>
      </c>
      <c r="AE78" s="147">
        <v>1.0</v>
      </c>
      <c r="AF78" s="147">
        <v>1.0</v>
      </c>
    </row>
    <row r="79" ht="15.75" customHeight="1">
      <c r="A79" s="141">
        <v>202.0</v>
      </c>
      <c r="B79" s="142" t="s">
        <v>66</v>
      </c>
      <c r="C79" s="275" t="str">
        <f>HYPERLINK("https://azurlane.koumakan.jp/Maya","Maya")</f>
        <v>Maya</v>
      </c>
      <c r="D79" s="142" t="s">
        <v>32</v>
      </c>
      <c r="E79" s="165">
        <v>4394.0</v>
      </c>
      <c r="F79" s="145">
        <v>274.0</v>
      </c>
      <c r="G79" s="145">
        <v>248.0</v>
      </c>
      <c r="H79" s="145">
        <v>0.0</v>
      </c>
      <c r="I79" s="145">
        <v>182.0</v>
      </c>
      <c r="J79" s="145">
        <v>177.0</v>
      </c>
      <c r="K79" s="145">
        <v>82.0</v>
      </c>
      <c r="L79" s="145" t="s">
        <v>71</v>
      </c>
      <c r="M79" s="145">
        <v>31.0</v>
      </c>
      <c r="N79" s="145">
        <v>137.0</v>
      </c>
      <c r="O79" s="145">
        <v>48.0</v>
      </c>
      <c r="P79" s="145">
        <v>0.0</v>
      </c>
      <c r="Q79" s="145">
        <v>12.0</v>
      </c>
      <c r="R79" s="145">
        <v>0.0</v>
      </c>
      <c r="S79" s="145">
        <v>0.0</v>
      </c>
      <c r="T79" s="147" t="s">
        <v>143</v>
      </c>
      <c r="U79" s="164" t="s">
        <v>1201</v>
      </c>
      <c r="V79" s="149" t="s">
        <v>551</v>
      </c>
      <c r="W79" s="149" t="s">
        <v>551</v>
      </c>
      <c r="X79" s="149" t="s">
        <v>1197</v>
      </c>
      <c r="Y79" s="147" t="s">
        <v>66</v>
      </c>
      <c r="Z79" s="147" t="s">
        <v>557</v>
      </c>
      <c r="AA79" s="147" t="s">
        <v>11</v>
      </c>
      <c r="AB79" s="147" t="s">
        <v>1202</v>
      </c>
      <c r="AC79" s="147">
        <v>1.0</v>
      </c>
      <c r="AD79" s="147">
        <v>2.0</v>
      </c>
      <c r="AE79" s="147">
        <v>1.0</v>
      </c>
      <c r="AF79" s="147">
        <v>1.0</v>
      </c>
    </row>
    <row r="80" ht="15.75" customHeight="1">
      <c r="A80" s="141">
        <v>203.0</v>
      </c>
      <c r="B80" s="142" t="s">
        <v>66</v>
      </c>
      <c r="C80" s="275" t="str">
        <f>HYPERLINK("https://azurlane.koumakan.jp/Choukai","Choukai")</f>
        <v>Choukai</v>
      </c>
      <c r="D80" s="142" t="s">
        <v>32</v>
      </c>
      <c r="E80" s="165">
        <v>4394.0</v>
      </c>
      <c r="F80" s="145">
        <v>265.0</v>
      </c>
      <c r="G80" s="145">
        <v>224.0</v>
      </c>
      <c r="H80" s="145">
        <v>0.0</v>
      </c>
      <c r="I80" s="145">
        <v>182.0</v>
      </c>
      <c r="J80" s="145">
        <v>177.0</v>
      </c>
      <c r="K80" s="145">
        <v>82.0</v>
      </c>
      <c r="L80" s="145" t="s">
        <v>71</v>
      </c>
      <c r="M80" s="145">
        <v>31.0</v>
      </c>
      <c r="N80" s="145">
        <v>137.0</v>
      </c>
      <c r="O80" s="145">
        <v>50.0</v>
      </c>
      <c r="P80" s="145">
        <v>0.0</v>
      </c>
      <c r="Q80" s="145">
        <v>12.0</v>
      </c>
      <c r="R80" s="145">
        <v>0.0</v>
      </c>
      <c r="S80" s="145">
        <v>0.0</v>
      </c>
      <c r="T80" s="147" t="s">
        <v>143</v>
      </c>
      <c r="U80" s="148" t="s">
        <v>1203</v>
      </c>
      <c r="V80" s="164" t="s">
        <v>1145</v>
      </c>
      <c r="W80" s="149" t="s">
        <v>551</v>
      </c>
      <c r="X80" s="149" t="s">
        <v>1197</v>
      </c>
      <c r="Y80" s="147" t="s">
        <v>66</v>
      </c>
      <c r="Z80" s="147" t="s">
        <v>557</v>
      </c>
      <c r="AA80" s="147" t="s">
        <v>11</v>
      </c>
      <c r="AB80" s="147" t="s">
        <v>1204</v>
      </c>
      <c r="AC80" s="147">
        <v>1.0</v>
      </c>
      <c r="AD80" s="147">
        <v>2.0</v>
      </c>
      <c r="AE80" s="147">
        <v>1.0</v>
      </c>
      <c r="AF80" s="147">
        <v>1.0</v>
      </c>
    </row>
    <row r="81" ht="15.75" customHeight="1">
      <c r="A81" s="141">
        <v>238.0</v>
      </c>
      <c r="B81" s="142" t="s">
        <v>52</v>
      </c>
      <c r="C81" s="275" t="str">
        <f>HYPERLINK("https://azurlane.koumakan.jp/K%C3%B6nigsberg","Konigsberg")</f>
        <v>Konigsberg</v>
      </c>
      <c r="D81" s="142" t="s">
        <v>40</v>
      </c>
      <c r="E81" s="165">
        <v>3450.0</v>
      </c>
      <c r="F81" s="145">
        <v>155.0</v>
      </c>
      <c r="G81" s="145">
        <v>276.0</v>
      </c>
      <c r="H81" s="145">
        <v>0.0</v>
      </c>
      <c r="I81" s="145">
        <v>341.0</v>
      </c>
      <c r="J81" s="145">
        <v>177.0</v>
      </c>
      <c r="K81" s="145">
        <v>126.0</v>
      </c>
      <c r="L81" s="145" t="s">
        <v>29</v>
      </c>
      <c r="M81" s="145">
        <v>32.0</v>
      </c>
      <c r="N81" s="145">
        <v>157.0</v>
      </c>
      <c r="O81" s="145">
        <v>42.0</v>
      </c>
      <c r="P81" s="145">
        <v>105.0</v>
      </c>
      <c r="Q81" s="145">
        <v>8.0</v>
      </c>
      <c r="R81" s="145">
        <v>0.0</v>
      </c>
      <c r="S81" s="145">
        <v>0.0</v>
      </c>
      <c r="T81" s="147" t="s">
        <v>193</v>
      </c>
      <c r="U81" s="148" t="s">
        <v>953</v>
      </c>
      <c r="V81" s="149" t="s">
        <v>551</v>
      </c>
      <c r="W81" s="149" t="s">
        <v>551</v>
      </c>
      <c r="X81" s="149" t="s">
        <v>954</v>
      </c>
      <c r="Y81" s="147" t="s">
        <v>52</v>
      </c>
      <c r="Z81" s="147" t="s">
        <v>557</v>
      </c>
      <c r="AA81" s="147" t="s">
        <v>11</v>
      </c>
      <c r="AB81" s="147" t="s">
        <v>880</v>
      </c>
      <c r="AC81" s="147">
        <v>1.0</v>
      </c>
      <c r="AD81" s="147">
        <v>2.0</v>
      </c>
      <c r="AE81" s="147">
        <v>1.0</v>
      </c>
      <c r="AF81" s="147">
        <v>1.0</v>
      </c>
    </row>
    <row r="82" ht="15.75" customHeight="1">
      <c r="A82" s="141">
        <v>239.0</v>
      </c>
      <c r="B82" s="142" t="s">
        <v>52</v>
      </c>
      <c r="C82" s="275" t="str">
        <f>HYPERLINK("https://azurlane.koumakan.jp/Karlsruhe","Karlsruhe")</f>
        <v>Karlsruhe</v>
      </c>
      <c r="D82" s="142" t="s">
        <v>40</v>
      </c>
      <c r="E82" s="165">
        <v>3450.0</v>
      </c>
      <c r="F82" s="145">
        <v>155.0</v>
      </c>
      <c r="G82" s="145">
        <v>276.0</v>
      </c>
      <c r="H82" s="145">
        <v>0.0</v>
      </c>
      <c r="I82" s="145">
        <v>341.0</v>
      </c>
      <c r="J82" s="145">
        <v>177.0</v>
      </c>
      <c r="K82" s="145">
        <v>126.0</v>
      </c>
      <c r="L82" s="145" t="s">
        <v>29</v>
      </c>
      <c r="M82" s="145">
        <v>32.0</v>
      </c>
      <c r="N82" s="145">
        <v>157.0</v>
      </c>
      <c r="O82" s="145">
        <v>39.0</v>
      </c>
      <c r="P82" s="145">
        <v>89.0</v>
      </c>
      <c r="Q82" s="145">
        <v>8.0</v>
      </c>
      <c r="R82" s="145">
        <v>0.0</v>
      </c>
      <c r="S82" s="145">
        <v>0.0</v>
      </c>
      <c r="T82" s="147" t="s">
        <v>193</v>
      </c>
      <c r="U82" s="164" t="s">
        <v>575</v>
      </c>
      <c r="V82" s="149" t="s">
        <v>551</v>
      </c>
      <c r="W82" s="149" t="s">
        <v>551</v>
      </c>
      <c r="X82" s="149" t="s">
        <v>954</v>
      </c>
      <c r="Y82" s="147" t="s">
        <v>52</v>
      </c>
      <c r="Z82" s="147" t="s">
        <v>557</v>
      </c>
      <c r="AA82" s="147" t="s">
        <v>11</v>
      </c>
      <c r="AB82" s="147" t="s">
        <v>880</v>
      </c>
      <c r="AC82" s="147">
        <v>1.0</v>
      </c>
      <c r="AD82" s="147">
        <v>2.0</v>
      </c>
      <c r="AE82" s="147">
        <v>1.0</v>
      </c>
      <c r="AF82" s="147">
        <v>1.0</v>
      </c>
    </row>
    <row r="83" ht="15.75" customHeight="1">
      <c r="A83" s="141">
        <v>239.1</v>
      </c>
      <c r="B83" s="142" t="s">
        <v>52</v>
      </c>
      <c r="C83" s="275" t="str">
        <f>HYPERLINK("https://azurlane.koumakan.jp/Karlsruhe#Retrofit","Karlsruhe (R)")</f>
        <v>Karlsruhe (R)</v>
      </c>
      <c r="D83" s="142" t="s">
        <v>36</v>
      </c>
      <c r="E83" s="144">
        <v>3690.0</v>
      </c>
      <c r="F83" s="145">
        <v>175.0</v>
      </c>
      <c r="G83" s="145">
        <v>321.0</v>
      </c>
      <c r="H83" s="145">
        <v>0.0</v>
      </c>
      <c r="I83" s="145">
        <v>356.0</v>
      </c>
      <c r="J83" s="145">
        <v>182.0</v>
      </c>
      <c r="K83" s="145">
        <v>126.0</v>
      </c>
      <c r="L83" s="145" t="s">
        <v>29</v>
      </c>
      <c r="M83" s="145">
        <v>32.0</v>
      </c>
      <c r="N83" s="145">
        <v>157.0</v>
      </c>
      <c r="O83" s="169">
        <v>39.0</v>
      </c>
      <c r="P83" s="145">
        <v>89.0</v>
      </c>
      <c r="Q83" s="145">
        <v>8.0</v>
      </c>
      <c r="R83" s="145">
        <v>0.0</v>
      </c>
      <c r="S83" s="145">
        <v>0.0</v>
      </c>
      <c r="T83" s="147" t="s">
        <v>193</v>
      </c>
      <c r="U83" s="164" t="s">
        <v>575</v>
      </c>
      <c r="V83" s="149" t="s">
        <v>551</v>
      </c>
      <c r="W83" s="164" t="s">
        <v>955</v>
      </c>
      <c r="X83" s="149" t="s">
        <v>954</v>
      </c>
      <c r="Y83" s="147" t="s">
        <v>52</v>
      </c>
      <c r="Z83" s="147" t="s">
        <v>557</v>
      </c>
      <c r="AA83" s="147" t="s">
        <v>11</v>
      </c>
      <c r="AB83" s="147" t="s">
        <v>956</v>
      </c>
      <c r="AC83" s="147">
        <v>1.0</v>
      </c>
      <c r="AD83" s="147">
        <v>2.0</v>
      </c>
      <c r="AE83" s="147">
        <v>1.0</v>
      </c>
      <c r="AF83" s="147">
        <v>1.0</v>
      </c>
    </row>
    <row r="84" ht="15.75" customHeight="1">
      <c r="A84" s="141">
        <v>240.0</v>
      </c>
      <c r="B84" s="142" t="s">
        <v>52</v>
      </c>
      <c r="C84" s="275" t="str">
        <f>HYPERLINK("https://azurlane.koumakan.jp/K%C3%B6ln","Koln")</f>
        <v>Koln</v>
      </c>
      <c r="D84" s="142" t="s">
        <v>40</v>
      </c>
      <c r="E84" s="165">
        <v>3450.0</v>
      </c>
      <c r="F84" s="145">
        <v>155.0</v>
      </c>
      <c r="G84" s="145">
        <v>276.0</v>
      </c>
      <c r="H84" s="145">
        <v>0.0</v>
      </c>
      <c r="I84" s="145">
        <v>341.0</v>
      </c>
      <c r="J84" s="145">
        <v>177.0</v>
      </c>
      <c r="K84" s="145">
        <v>126.0</v>
      </c>
      <c r="L84" s="145" t="s">
        <v>29</v>
      </c>
      <c r="M84" s="145">
        <v>32.0</v>
      </c>
      <c r="N84" s="145">
        <v>157.0</v>
      </c>
      <c r="O84" s="145">
        <v>62.0</v>
      </c>
      <c r="P84" s="145">
        <v>107.0</v>
      </c>
      <c r="Q84" s="145">
        <v>8.0</v>
      </c>
      <c r="R84" s="145">
        <v>0.0</v>
      </c>
      <c r="S84" s="145">
        <v>0.0</v>
      </c>
      <c r="T84" s="147" t="s">
        <v>193</v>
      </c>
      <c r="U84" s="164" t="s">
        <v>575</v>
      </c>
      <c r="V84" s="149" t="s">
        <v>551</v>
      </c>
      <c r="W84" s="149" t="s">
        <v>551</v>
      </c>
      <c r="X84" s="149" t="s">
        <v>954</v>
      </c>
      <c r="Y84" s="147" t="s">
        <v>52</v>
      </c>
      <c r="Z84" s="147" t="s">
        <v>557</v>
      </c>
      <c r="AA84" s="147" t="s">
        <v>11</v>
      </c>
      <c r="AB84" s="147" t="s">
        <v>880</v>
      </c>
      <c r="AC84" s="147">
        <v>1.0</v>
      </c>
      <c r="AD84" s="147">
        <v>2.0</v>
      </c>
      <c r="AE84" s="147">
        <v>1.0</v>
      </c>
      <c r="AF84" s="147">
        <v>1.0</v>
      </c>
    </row>
    <row r="85" ht="15.75" customHeight="1">
      <c r="A85" s="141">
        <v>240.1</v>
      </c>
      <c r="B85" s="142" t="s">
        <v>52</v>
      </c>
      <c r="C85" s="275" t="str">
        <f>HYPERLINK("https://azurlane.koumakan.jp/K%C3%B6ln#Level_120_Retrofit_","Koln (R)")</f>
        <v>Koln (R)</v>
      </c>
      <c r="D85" s="142" t="s">
        <v>36</v>
      </c>
      <c r="E85" s="144">
        <v>3690.0</v>
      </c>
      <c r="F85" s="158">
        <v>175.0</v>
      </c>
      <c r="G85" s="158">
        <v>321.0</v>
      </c>
      <c r="H85" s="158">
        <v>0.0</v>
      </c>
      <c r="I85" s="158">
        <v>356.0</v>
      </c>
      <c r="J85" s="158">
        <v>182.0</v>
      </c>
      <c r="K85" s="158">
        <v>126.0</v>
      </c>
      <c r="L85" s="158" t="s">
        <v>29</v>
      </c>
      <c r="M85" s="158">
        <v>32.0</v>
      </c>
      <c r="N85" s="158">
        <v>157.0</v>
      </c>
      <c r="O85" s="158">
        <v>62.0</v>
      </c>
      <c r="P85" s="158">
        <v>107.0</v>
      </c>
      <c r="Q85" s="158">
        <v>8.0</v>
      </c>
      <c r="R85" s="158">
        <v>0.0</v>
      </c>
      <c r="S85" s="158">
        <v>0.0</v>
      </c>
      <c r="T85" s="147" t="s">
        <v>193</v>
      </c>
      <c r="U85" s="164" t="s">
        <v>575</v>
      </c>
      <c r="V85" s="149" t="s">
        <v>551</v>
      </c>
      <c r="W85" s="164" t="s">
        <v>957</v>
      </c>
      <c r="X85" s="149" t="s">
        <v>954</v>
      </c>
      <c r="Y85" s="147" t="s">
        <v>52</v>
      </c>
      <c r="Z85" s="147" t="s">
        <v>557</v>
      </c>
      <c r="AA85" s="147" t="s">
        <v>11</v>
      </c>
      <c r="AB85" s="147" t="s">
        <v>956</v>
      </c>
      <c r="AC85" s="147">
        <v>1.0</v>
      </c>
      <c r="AD85" s="147">
        <v>2.0</v>
      </c>
      <c r="AE85" s="147">
        <v>1.0</v>
      </c>
      <c r="AF85" s="147">
        <v>1.0</v>
      </c>
    </row>
    <row r="86" ht="15.75" customHeight="1">
      <c r="A86" s="141">
        <v>241.0</v>
      </c>
      <c r="B86" s="142" t="s">
        <v>52</v>
      </c>
      <c r="C86" s="275" t="str">
        <f>HYPERLINK("https://azurlane.koumakan.jp/Leipzig","Leipzig")</f>
        <v>Leipzig</v>
      </c>
      <c r="D86" s="142" t="s">
        <v>36</v>
      </c>
      <c r="E86" s="165">
        <v>3576.0</v>
      </c>
      <c r="F86" s="145">
        <v>150.0</v>
      </c>
      <c r="G86" s="145">
        <v>274.0</v>
      </c>
      <c r="H86" s="145">
        <v>0.0</v>
      </c>
      <c r="I86" s="145">
        <v>354.0</v>
      </c>
      <c r="J86" s="145">
        <v>188.0</v>
      </c>
      <c r="K86" s="145">
        <v>121.0</v>
      </c>
      <c r="L86" s="145" t="s">
        <v>29</v>
      </c>
      <c r="M86" s="145">
        <v>32.0</v>
      </c>
      <c r="N86" s="145">
        <v>163.0</v>
      </c>
      <c r="O86" s="145">
        <v>67.0</v>
      </c>
      <c r="P86" s="145">
        <v>100.0</v>
      </c>
      <c r="Q86" s="145">
        <v>9.0</v>
      </c>
      <c r="R86" s="145">
        <v>0.0</v>
      </c>
      <c r="S86" s="145">
        <v>0.0</v>
      </c>
      <c r="T86" s="147" t="s">
        <v>193</v>
      </c>
      <c r="U86" s="148" t="s">
        <v>958</v>
      </c>
      <c r="V86" s="149" t="s">
        <v>551</v>
      </c>
      <c r="W86" s="149" t="s">
        <v>551</v>
      </c>
      <c r="X86" s="149" t="s">
        <v>959</v>
      </c>
      <c r="Y86" s="147" t="s">
        <v>52</v>
      </c>
      <c r="Z86" s="147" t="s">
        <v>557</v>
      </c>
      <c r="AA86" s="147" t="s">
        <v>11</v>
      </c>
      <c r="AB86" s="147" t="s">
        <v>960</v>
      </c>
      <c r="AC86" s="147">
        <v>1.0</v>
      </c>
      <c r="AD86" s="147">
        <v>2.0</v>
      </c>
      <c r="AE86" s="147">
        <v>1.0</v>
      </c>
      <c r="AF86" s="147">
        <v>1.0</v>
      </c>
    </row>
    <row r="87" ht="15.75" customHeight="1">
      <c r="A87" s="141">
        <v>241.1</v>
      </c>
      <c r="B87" s="142" t="s">
        <v>52</v>
      </c>
      <c r="C87" s="275" t="str">
        <f>HYPERLINK("https://azurlane.koumakan.jp/Leipzig#Retrofit","Leipzig (R)")</f>
        <v>Leipzig (R)</v>
      </c>
      <c r="D87" s="142" t="s">
        <v>28</v>
      </c>
      <c r="E87" s="165">
        <v>3816.0</v>
      </c>
      <c r="F87" s="145">
        <v>170.0</v>
      </c>
      <c r="G87" s="145">
        <v>329.0</v>
      </c>
      <c r="H87" s="145">
        <v>0.0</v>
      </c>
      <c r="I87" s="145">
        <v>394.0</v>
      </c>
      <c r="J87" s="145">
        <v>193.0</v>
      </c>
      <c r="K87" s="145">
        <v>121.0</v>
      </c>
      <c r="L87" s="145" t="s">
        <v>29</v>
      </c>
      <c r="M87" s="145">
        <v>32.0</v>
      </c>
      <c r="N87" s="145">
        <v>163.0</v>
      </c>
      <c r="O87" s="145">
        <v>67.0</v>
      </c>
      <c r="P87" s="145">
        <v>100.0</v>
      </c>
      <c r="Q87" s="145">
        <v>9.0</v>
      </c>
      <c r="R87" s="145">
        <v>0.0</v>
      </c>
      <c r="S87" s="145">
        <v>0.0</v>
      </c>
      <c r="T87" s="147" t="s">
        <v>193</v>
      </c>
      <c r="U87" s="148" t="s">
        <v>958</v>
      </c>
      <c r="V87" s="149" t="s">
        <v>551</v>
      </c>
      <c r="W87" s="161" t="s">
        <v>961</v>
      </c>
      <c r="X87" s="149" t="s">
        <v>959</v>
      </c>
      <c r="Y87" s="147" t="s">
        <v>52</v>
      </c>
      <c r="Z87" s="147" t="s">
        <v>557</v>
      </c>
      <c r="AA87" s="147" t="s">
        <v>11</v>
      </c>
      <c r="AB87" s="147" t="s">
        <v>962</v>
      </c>
      <c r="AC87" s="147">
        <v>1.0</v>
      </c>
      <c r="AD87" s="147">
        <v>2.0</v>
      </c>
      <c r="AE87" s="147">
        <v>1.0</v>
      </c>
      <c r="AF87" s="147">
        <v>1.0</v>
      </c>
    </row>
    <row r="88" ht="15.75" customHeight="1">
      <c r="A88" s="141">
        <v>242.0</v>
      </c>
      <c r="B88" s="142" t="s">
        <v>66</v>
      </c>
      <c r="C88" s="275" t="str">
        <f>HYPERLINK("https://azurlane.koumakan.jp/Admiral_Hipper","Admiral Hipper")</f>
        <v>Admiral Hipper</v>
      </c>
      <c r="D88" s="142" t="s">
        <v>28</v>
      </c>
      <c r="E88" s="165">
        <v>5083.0</v>
      </c>
      <c r="F88" s="145">
        <v>254.0</v>
      </c>
      <c r="G88" s="145">
        <v>193.0</v>
      </c>
      <c r="H88" s="145">
        <v>0.0</v>
      </c>
      <c r="I88" s="145">
        <v>193.0</v>
      </c>
      <c r="J88" s="145">
        <v>178.0</v>
      </c>
      <c r="K88" s="145">
        <v>64.0</v>
      </c>
      <c r="L88" s="145" t="s">
        <v>71</v>
      </c>
      <c r="M88" s="145">
        <v>25.0</v>
      </c>
      <c r="N88" s="145">
        <v>131.0</v>
      </c>
      <c r="O88" s="145">
        <v>66.0</v>
      </c>
      <c r="P88" s="145">
        <v>0.0</v>
      </c>
      <c r="Q88" s="145">
        <v>11.0</v>
      </c>
      <c r="R88" s="145">
        <v>0.0</v>
      </c>
      <c r="S88" s="145">
        <v>0.0</v>
      </c>
      <c r="T88" s="147" t="s">
        <v>193</v>
      </c>
      <c r="U88" s="161" t="s">
        <v>1205</v>
      </c>
      <c r="V88" s="161" t="s">
        <v>1153</v>
      </c>
      <c r="W88" s="149" t="s">
        <v>551</v>
      </c>
      <c r="X88" s="149" t="s">
        <v>1206</v>
      </c>
      <c r="Y88" s="160" t="s">
        <v>66</v>
      </c>
      <c r="Z88" s="147" t="s">
        <v>557</v>
      </c>
      <c r="AA88" s="147" t="s">
        <v>11</v>
      </c>
      <c r="AB88" s="147" t="s">
        <v>1207</v>
      </c>
      <c r="AC88" s="147">
        <v>1.0</v>
      </c>
      <c r="AD88" s="147">
        <v>2.0</v>
      </c>
      <c r="AE88" s="147">
        <v>1.0</v>
      </c>
      <c r="AF88" s="147">
        <v>1.0</v>
      </c>
    </row>
    <row r="89" ht="15.75" customHeight="1">
      <c r="A89" s="141">
        <v>244.0</v>
      </c>
      <c r="B89" s="142" t="s">
        <v>66</v>
      </c>
      <c r="C89" s="275" t="str">
        <f>HYPERLINK("https://azurlane.koumakan.jp/Prinz_Eugen","Prinz Eugen")</f>
        <v>Prinz Eugen</v>
      </c>
      <c r="D89" s="142" t="s">
        <v>32</v>
      </c>
      <c r="E89" s="165">
        <v>6394.0</v>
      </c>
      <c r="F89" s="145">
        <v>230.0</v>
      </c>
      <c r="G89" s="145">
        <v>155.0</v>
      </c>
      <c r="H89" s="145">
        <v>0.0</v>
      </c>
      <c r="I89" s="145">
        <v>209.0</v>
      </c>
      <c r="J89" s="145">
        <v>185.0</v>
      </c>
      <c r="K89" s="145">
        <v>64.0</v>
      </c>
      <c r="L89" s="145" t="s">
        <v>71</v>
      </c>
      <c r="M89" s="145">
        <v>25.0</v>
      </c>
      <c r="N89" s="145">
        <v>131.0</v>
      </c>
      <c r="O89" s="145">
        <v>78.0</v>
      </c>
      <c r="P89" s="145">
        <v>0.0</v>
      </c>
      <c r="Q89" s="145">
        <v>12.0</v>
      </c>
      <c r="R89" s="145">
        <v>0.0</v>
      </c>
      <c r="S89" s="145">
        <v>0.0</v>
      </c>
      <c r="T89" s="147" t="s">
        <v>193</v>
      </c>
      <c r="U89" s="161" t="s">
        <v>1208</v>
      </c>
      <c r="V89" s="149" t="s">
        <v>551</v>
      </c>
      <c r="W89" s="149" t="s">
        <v>551</v>
      </c>
      <c r="X89" s="149" t="s">
        <v>1206</v>
      </c>
      <c r="Y89" s="160" t="s">
        <v>66</v>
      </c>
      <c r="Z89" s="147" t="s">
        <v>557</v>
      </c>
      <c r="AA89" s="147" t="s">
        <v>11</v>
      </c>
      <c r="AB89" s="147" t="s">
        <v>1173</v>
      </c>
      <c r="AC89" s="147">
        <v>1.0</v>
      </c>
      <c r="AD89" s="147">
        <v>2.0</v>
      </c>
      <c r="AE89" s="147">
        <v>1.0</v>
      </c>
      <c r="AF89" s="147">
        <v>1.0</v>
      </c>
    </row>
    <row r="90" ht="15.75" customHeight="1">
      <c r="A90" s="141">
        <v>245.0</v>
      </c>
      <c r="B90" s="142" t="s">
        <v>66</v>
      </c>
      <c r="C90" s="275" t="str">
        <f>HYPERLINK("https://azurlane.koumakan.jp/Deutschland","Deutchland")</f>
        <v>Deutchland</v>
      </c>
      <c r="D90" s="142" t="s">
        <v>28</v>
      </c>
      <c r="E90" s="165">
        <v>4111.0</v>
      </c>
      <c r="F90" s="145">
        <v>305.0</v>
      </c>
      <c r="G90" s="145">
        <v>223.0</v>
      </c>
      <c r="H90" s="145">
        <v>0.0</v>
      </c>
      <c r="I90" s="145">
        <v>157.0</v>
      </c>
      <c r="J90" s="145">
        <v>178.0</v>
      </c>
      <c r="K90" s="145">
        <v>55.0</v>
      </c>
      <c r="L90" s="145" t="s">
        <v>71</v>
      </c>
      <c r="M90" s="145">
        <v>22.0</v>
      </c>
      <c r="N90" s="145">
        <v>135.0</v>
      </c>
      <c r="O90" s="145">
        <v>72.0</v>
      </c>
      <c r="P90" s="145">
        <v>0.0</v>
      </c>
      <c r="Q90" s="145">
        <v>11.0</v>
      </c>
      <c r="R90" s="145">
        <v>0.0</v>
      </c>
      <c r="S90" s="145">
        <v>0.0</v>
      </c>
      <c r="T90" s="147" t="s">
        <v>193</v>
      </c>
      <c r="U90" s="164" t="s">
        <v>1209</v>
      </c>
      <c r="V90" s="149" t="s">
        <v>551</v>
      </c>
      <c r="W90" s="149" t="s">
        <v>551</v>
      </c>
      <c r="X90" s="149" t="s">
        <v>1210</v>
      </c>
      <c r="Y90" s="147" t="s">
        <v>1243</v>
      </c>
      <c r="Z90" s="147" t="s">
        <v>557</v>
      </c>
      <c r="AA90" s="147" t="s">
        <v>11</v>
      </c>
      <c r="AB90" s="147" t="s">
        <v>1211</v>
      </c>
      <c r="AC90" s="147">
        <v>1.0</v>
      </c>
      <c r="AD90" s="147">
        <v>2.0</v>
      </c>
      <c r="AE90" s="147">
        <v>1.0</v>
      </c>
      <c r="AF90" s="147">
        <v>1.0</v>
      </c>
    </row>
    <row r="91" ht="15.75" customHeight="1">
      <c r="A91" s="141">
        <v>246.0</v>
      </c>
      <c r="B91" s="142" t="s">
        <v>66</v>
      </c>
      <c r="C91" s="275" t="str">
        <f>HYPERLINK("https://azurlane.koumakan.jp/Admiral_Graf.Spee","Adm. Graf Spee")</f>
        <v>Adm. Graf Spee</v>
      </c>
      <c r="D91" s="142" t="s">
        <v>28</v>
      </c>
      <c r="E91" s="165">
        <v>4462.0</v>
      </c>
      <c r="F91" s="145">
        <v>301.0</v>
      </c>
      <c r="G91" s="145">
        <v>219.0</v>
      </c>
      <c r="H91" s="145">
        <v>0.0</v>
      </c>
      <c r="I91" s="145">
        <v>157.0</v>
      </c>
      <c r="J91" s="145">
        <v>177.0</v>
      </c>
      <c r="K91" s="145">
        <v>56.0</v>
      </c>
      <c r="L91" s="145" t="s">
        <v>71</v>
      </c>
      <c r="M91" s="145">
        <v>22.0</v>
      </c>
      <c r="N91" s="145">
        <v>129.0</v>
      </c>
      <c r="O91" s="145">
        <v>36.0</v>
      </c>
      <c r="P91" s="145">
        <v>0.0</v>
      </c>
      <c r="Q91" s="145">
        <v>11.0</v>
      </c>
      <c r="R91" s="145">
        <v>0.0</v>
      </c>
      <c r="S91" s="145">
        <v>0.0</v>
      </c>
      <c r="T91" s="147" t="s">
        <v>193</v>
      </c>
      <c r="U91" s="164" t="s">
        <v>1209</v>
      </c>
      <c r="V91" s="149" t="s">
        <v>551</v>
      </c>
      <c r="W91" s="149" t="s">
        <v>551</v>
      </c>
      <c r="X91" s="149" t="s">
        <v>1210</v>
      </c>
      <c r="Y91" s="147" t="s">
        <v>1243</v>
      </c>
      <c r="Z91" s="147" t="s">
        <v>557</v>
      </c>
      <c r="AA91" s="147" t="s">
        <v>11</v>
      </c>
      <c r="AB91" s="147" t="s">
        <v>1211</v>
      </c>
      <c r="AC91" s="147">
        <v>1.0</v>
      </c>
      <c r="AD91" s="147">
        <v>2.0</v>
      </c>
      <c r="AE91" s="147">
        <v>1.0</v>
      </c>
      <c r="AF91" s="147">
        <v>1.0</v>
      </c>
    </row>
    <row r="92" ht="15.75" customHeight="1">
      <c r="A92" s="141">
        <v>257.0</v>
      </c>
      <c r="B92" s="142" t="s">
        <v>52</v>
      </c>
      <c r="C92" s="275" t="str">
        <f>HYPERLINK("https://azurlane.koumakan.jp/Yat_Sen","Yat Sen")</f>
        <v>Yat Sen</v>
      </c>
      <c r="D92" s="142" t="s">
        <v>28</v>
      </c>
      <c r="E92" s="165">
        <v>1928.0</v>
      </c>
      <c r="F92" s="145">
        <v>122.0</v>
      </c>
      <c r="G92" s="145">
        <v>0.0</v>
      </c>
      <c r="H92" s="145">
        <v>0.0</v>
      </c>
      <c r="I92" s="145">
        <v>354.0</v>
      </c>
      <c r="J92" s="145">
        <v>185.0</v>
      </c>
      <c r="K92" s="145">
        <v>93.0</v>
      </c>
      <c r="L92" s="145" t="s">
        <v>29</v>
      </c>
      <c r="M92" s="145">
        <v>19.0</v>
      </c>
      <c r="N92" s="145">
        <v>150.0</v>
      </c>
      <c r="O92" s="145">
        <v>64.0</v>
      </c>
      <c r="P92" s="145">
        <v>56.0</v>
      </c>
      <c r="Q92" s="145">
        <v>10.0</v>
      </c>
      <c r="R92" s="145">
        <v>0.0</v>
      </c>
      <c r="S92" s="145">
        <v>0.0</v>
      </c>
      <c r="T92" s="147" t="s">
        <v>206</v>
      </c>
      <c r="U92" s="148" t="s">
        <v>963</v>
      </c>
      <c r="V92" s="164" t="s">
        <v>964</v>
      </c>
      <c r="W92" s="149" t="s">
        <v>551</v>
      </c>
      <c r="X92" s="149" t="s">
        <v>965</v>
      </c>
      <c r="Y92" s="147" t="s">
        <v>52</v>
      </c>
      <c r="Z92" s="147" t="s">
        <v>52</v>
      </c>
      <c r="AA92" s="147" t="s">
        <v>11</v>
      </c>
      <c r="AB92" s="147" t="s">
        <v>966</v>
      </c>
      <c r="AC92" s="147">
        <v>2.0</v>
      </c>
      <c r="AD92" s="147">
        <v>0.0</v>
      </c>
      <c r="AE92" s="147">
        <v>0.0</v>
      </c>
      <c r="AF92" s="147">
        <v>1.0</v>
      </c>
    </row>
    <row r="93" ht="15.75" customHeight="1">
      <c r="A93" s="141">
        <v>258.0</v>
      </c>
      <c r="B93" s="142" t="s">
        <v>52</v>
      </c>
      <c r="C93" s="275" t="str">
        <f>HYPERLINK("https://azurlane.koumakan.jp/Ning_Hai","Ning Hai")</f>
        <v>Ning Hai</v>
      </c>
      <c r="D93" s="142" t="s">
        <v>28</v>
      </c>
      <c r="E93" s="165">
        <v>2028.0</v>
      </c>
      <c r="F93" s="145">
        <v>148.0</v>
      </c>
      <c r="G93" s="145">
        <v>237.0</v>
      </c>
      <c r="H93" s="145">
        <v>0.0</v>
      </c>
      <c r="I93" s="145">
        <v>295.0</v>
      </c>
      <c r="J93" s="145">
        <v>185.0</v>
      </c>
      <c r="K93" s="145">
        <v>88.0</v>
      </c>
      <c r="L93" s="145" t="s">
        <v>29</v>
      </c>
      <c r="M93" s="145">
        <v>23.0</v>
      </c>
      <c r="N93" s="145">
        <v>156.0</v>
      </c>
      <c r="O93" s="145">
        <v>51.0</v>
      </c>
      <c r="P93" s="145">
        <v>77.0</v>
      </c>
      <c r="Q93" s="145">
        <v>10.0</v>
      </c>
      <c r="R93" s="145">
        <v>0.0</v>
      </c>
      <c r="S93" s="145">
        <v>0.0</v>
      </c>
      <c r="T93" s="147" t="s">
        <v>206</v>
      </c>
      <c r="U93" s="148" t="s">
        <v>967</v>
      </c>
      <c r="V93" s="164" t="s">
        <v>964</v>
      </c>
      <c r="W93" s="149" t="s">
        <v>551</v>
      </c>
      <c r="X93" s="149" t="s">
        <v>968</v>
      </c>
      <c r="Y93" s="147" t="s">
        <v>52</v>
      </c>
      <c r="Z93" s="147" t="s">
        <v>557</v>
      </c>
      <c r="AA93" s="147" t="s">
        <v>11</v>
      </c>
      <c r="AB93" s="147" t="s">
        <v>928</v>
      </c>
      <c r="AC93" s="147">
        <v>1.0</v>
      </c>
      <c r="AD93" s="147">
        <v>2.0</v>
      </c>
      <c r="AE93" s="147">
        <v>1.0</v>
      </c>
      <c r="AF93" s="147">
        <v>1.0</v>
      </c>
    </row>
    <row r="94" ht="15.75" customHeight="1">
      <c r="A94" s="141">
        <v>258.1</v>
      </c>
      <c r="B94" s="142" t="s">
        <v>52</v>
      </c>
      <c r="C94" s="275" t="str">
        <f>HYPERLINK("https://azurlane.koumakan.jp/Ning_Hai#Retrofit","Ning Hai (R)")</f>
        <v>Ning Hai (R)</v>
      </c>
      <c r="D94" s="142" t="s">
        <v>32</v>
      </c>
      <c r="E94" s="144">
        <v>2238.0</v>
      </c>
      <c r="F94" s="145">
        <v>203.0</v>
      </c>
      <c r="G94" s="145">
        <v>237.0</v>
      </c>
      <c r="H94" s="145">
        <v>0.0</v>
      </c>
      <c r="I94" s="145">
        <v>310.0</v>
      </c>
      <c r="J94" s="145">
        <v>190.0</v>
      </c>
      <c r="K94" s="145">
        <v>123.0</v>
      </c>
      <c r="L94" s="145" t="s">
        <v>29</v>
      </c>
      <c r="M94" s="145">
        <v>23.0</v>
      </c>
      <c r="N94" s="145">
        <v>156.0</v>
      </c>
      <c r="O94" s="169">
        <v>51.0</v>
      </c>
      <c r="P94" s="145">
        <v>77.0</v>
      </c>
      <c r="Q94" s="145">
        <v>10.0</v>
      </c>
      <c r="R94" s="145">
        <v>0.0</v>
      </c>
      <c r="S94" s="145">
        <v>0.0</v>
      </c>
      <c r="T94" s="147" t="s">
        <v>206</v>
      </c>
      <c r="U94" s="148" t="s">
        <v>967</v>
      </c>
      <c r="V94" s="164" t="s">
        <v>964</v>
      </c>
      <c r="W94" s="164" t="s">
        <v>969</v>
      </c>
      <c r="X94" s="149" t="s">
        <v>968</v>
      </c>
      <c r="Y94" s="147" t="s">
        <v>52</v>
      </c>
      <c r="Z94" s="147" t="s">
        <v>557</v>
      </c>
      <c r="AA94" s="147" t="s">
        <v>11</v>
      </c>
      <c r="AB94" s="147" t="s">
        <v>970</v>
      </c>
      <c r="AC94" s="147">
        <v>1.0</v>
      </c>
      <c r="AD94" s="147">
        <v>2.0</v>
      </c>
      <c r="AE94" s="147">
        <v>1.0</v>
      </c>
      <c r="AF94" s="147">
        <v>1.0</v>
      </c>
    </row>
    <row r="95" ht="15.75" customHeight="1">
      <c r="A95" s="141">
        <v>259.0</v>
      </c>
      <c r="B95" s="142" t="s">
        <v>52</v>
      </c>
      <c r="C95" s="275" t="str">
        <f>HYPERLINK("https://azurlane.koumakan.jp/Ping_Hai","Ping Hai")</f>
        <v>Ping Hai</v>
      </c>
      <c r="D95" s="142" t="s">
        <v>28</v>
      </c>
      <c r="E95" s="165">
        <v>1995.0</v>
      </c>
      <c r="F95" s="145">
        <v>148.0</v>
      </c>
      <c r="G95" s="145">
        <v>237.0</v>
      </c>
      <c r="H95" s="145">
        <v>0.0</v>
      </c>
      <c r="I95" s="145">
        <v>263.0</v>
      </c>
      <c r="J95" s="145">
        <v>185.0</v>
      </c>
      <c r="K95" s="145">
        <v>85.0</v>
      </c>
      <c r="L95" s="145" t="s">
        <v>29</v>
      </c>
      <c r="M95" s="145">
        <v>21.0</v>
      </c>
      <c r="N95" s="145">
        <v>159.0</v>
      </c>
      <c r="O95" s="145">
        <v>47.0</v>
      </c>
      <c r="P95" s="145">
        <v>77.0</v>
      </c>
      <c r="Q95" s="145">
        <v>10.0</v>
      </c>
      <c r="R95" s="145">
        <v>0.0</v>
      </c>
      <c r="S95" s="145">
        <v>0.0</v>
      </c>
      <c r="T95" s="147" t="s">
        <v>206</v>
      </c>
      <c r="U95" s="148" t="s">
        <v>967</v>
      </c>
      <c r="V95" s="164" t="s">
        <v>964</v>
      </c>
      <c r="W95" s="149" t="s">
        <v>551</v>
      </c>
      <c r="X95" s="149" t="s">
        <v>968</v>
      </c>
      <c r="Y95" s="147" t="s">
        <v>52</v>
      </c>
      <c r="Z95" s="147" t="s">
        <v>557</v>
      </c>
      <c r="AA95" s="147" t="s">
        <v>11</v>
      </c>
      <c r="AB95" s="147" t="s">
        <v>928</v>
      </c>
      <c r="AC95" s="147">
        <v>1.0</v>
      </c>
      <c r="AD95" s="147">
        <v>2.0</v>
      </c>
      <c r="AE95" s="147">
        <v>1.0</v>
      </c>
      <c r="AF95" s="147">
        <v>1.0</v>
      </c>
    </row>
    <row r="96" ht="15.75" customHeight="1">
      <c r="A96" s="141">
        <v>259.1</v>
      </c>
      <c r="B96" s="142" t="s">
        <v>52</v>
      </c>
      <c r="C96" s="275" t="str">
        <f>HYPERLINK("https://azurlane.koumakan.jp/Ping_Hai#Retrofit","Ping Hai (R)")</f>
        <v>Ping Hai (R)</v>
      </c>
      <c r="D96" s="142" t="s">
        <v>32</v>
      </c>
      <c r="E96" s="144">
        <v>2205.0</v>
      </c>
      <c r="F96" s="145">
        <v>203.0</v>
      </c>
      <c r="G96" s="145">
        <v>237.0</v>
      </c>
      <c r="H96" s="145">
        <v>0.0</v>
      </c>
      <c r="I96" s="145">
        <v>278.0</v>
      </c>
      <c r="J96" s="145">
        <v>190.0</v>
      </c>
      <c r="K96" s="145">
        <v>120.0</v>
      </c>
      <c r="L96" s="145" t="s">
        <v>29</v>
      </c>
      <c r="M96" s="145">
        <v>21.0</v>
      </c>
      <c r="N96" s="145">
        <v>159.0</v>
      </c>
      <c r="O96" s="169">
        <v>47.0</v>
      </c>
      <c r="P96" s="145">
        <v>77.0</v>
      </c>
      <c r="Q96" s="145">
        <v>10.0</v>
      </c>
      <c r="R96" s="145">
        <v>0.0</v>
      </c>
      <c r="S96" s="145">
        <v>0.0</v>
      </c>
      <c r="T96" s="147" t="s">
        <v>206</v>
      </c>
      <c r="U96" s="148" t="s">
        <v>967</v>
      </c>
      <c r="V96" s="164" t="s">
        <v>964</v>
      </c>
      <c r="W96" s="164" t="s">
        <v>969</v>
      </c>
      <c r="X96" s="149" t="s">
        <v>968</v>
      </c>
      <c r="Y96" s="147" t="s">
        <v>52</v>
      </c>
      <c r="Z96" s="147" t="s">
        <v>557</v>
      </c>
      <c r="AA96" s="147" t="s">
        <v>11</v>
      </c>
      <c r="AB96" s="147" t="s">
        <v>970</v>
      </c>
      <c r="AC96" s="147">
        <v>1.0</v>
      </c>
      <c r="AD96" s="147">
        <v>2.0</v>
      </c>
      <c r="AE96" s="147">
        <v>1.0</v>
      </c>
      <c r="AF96" s="147">
        <v>1.0</v>
      </c>
    </row>
    <row r="97" ht="15.75" customHeight="1">
      <c r="A97" s="141">
        <v>262.0</v>
      </c>
      <c r="B97" s="142" t="s">
        <v>52</v>
      </c>
      <c r="C97" s="275" t="str">
        <f>HYPERLINK("https://azurlane.koumakan.jp/Avrora","Avrora")</f>
        <v>Avrora</v>
      </c>
      <c r="D97" s="142" t="s">
        <v>32</v>
      </c>
      <c r="E97" s="165">
        <v>3450.0</v>
      </c>
      <c r="F97" s="145">
        <v>106.0</v>
      </c>
      <c r="G97" s="145">
        <v>226.0</v>
      </c>
      <c r="H97" s="145">
        <v>0.0</v>
      </c>
      <c r="I97" s="145">
        <v>163.0</v>
      </c>
      <c r="J97" s="145">
        <v>152.0</v>
      </c>
      <c r="K97" s="145">
        <v>93.0</v>
      </c>
      <c r="L97" s="145" t="s">
        <v>71</v>
      </c>
      <c r="M97" s="145">
        <v>19.0</v>
      </c>
      <c r="N97" s="145">
        <v>134.0</v>
      </c>
      <c r="O97" s="145">
        <v>55.0</v>
      </c>
      <c r="P97" s="145">
        <v>58.0</v>
      </c>
      <c r="Q97" s="145">
        <v>11.0</v>
      </c>
      <c r="R97" s="145">
        <v>0.0</v>
      </c>
      <c r="S97" s="145">
        <v>0.0</v>
      </c>
      <c r="T97" s="147" t="s">
        <v>212</v>
      </c>
      <c r="U97" s="148" t="s">
        <v>971</v>
      </c>
      <c r="V97" s="149" t="s">
        <v>551</v>
      </c>
      <c r="W97" s="149" t="s">
        <v>551</v>
      </c>
      <c r="X97" s="149" t="s">
        <v>972</v>
      </c>
      <c r="Y97" s="147" t="s">
        <v>52</v>
      </c>
      <c r="Z97" s="147" t="s">
        <v>557</v>
      </c>
      <c r="AA97" s="147" t="s">
        <v>11</v>
      </c>
      <c r="AB97" s="147" t="s">
        <v>973</v>
      </c>
      <c r="AC97" s="147">
        <v>2.0</v>
      </c>
      <c r="AD97" s="147">
        <v>1.0</v>
      </c>
      <c r="AE97" s="147">
        <v>0.0</v>
      </c>
      <c r="AF97" s="147">
        <v>1.0</v>
      </c>
    </row>
    <row r="98" ht="15.75" customHeight="1">
      <c r="A98" s="141">
        <v>303.0</v>
      </c>
      <c r="B98" s="142" t="s">
        <v>52</v>
      </c>
      <c r="C98" s="275" t="str">
        <f>HYPERLINK("https://azurlane.koumakan.jp/Richmond","Richmond")</f>
        <v>Richmond</v>
      </c>
      <c r="D98" s="142" t="s">
        <v>40</v>
      </c>
      <c r="E98" s="165">
        <v>3312.0</v>
      </c>
      <c r="F98" s="145">
        <v>144.0</v>
      </c>
      <c r="G98" s="145">
        <v>210.0</v>
      </c>
      <c r="H98" s="145">
        <v>0.0</v>
      </c>
      <c r="I98" s="145">
        <v>287.0</v>
      </c>
      <c r="J98" s="145">
        <v>185.0</v>
      </c>
      <c r="K98" s="145">
        <v>127.0</v>
      </c>
      <c r="L98" s="145" t="s">
        <v>29</v>
      </c>
      <c r="M98" s="145">
        <v>35.0</v>
      </c>
      <c r="N98" s="145">
        <v>156.0</v>
      </c>
      <c r="O98" s="145">
        <v>69.0</v>
      </c>
      <c r="P98" s="145">
        <v>94.0</v>
      </c>
      <c r="Q98" s="145">
        <v>8.0</v>
      </c>
      <c r="R98" s="145">
        <v>0.0</v>
      </c>
      <c r="S98" s="145">
        <v>0.0</v>
      </c>
      <c r="T98" s="147" t="s">
        <v>37</v>
      </c>
      <c r="U98" s="148" t="s">
        <v>881</v>
      </c>
      <c r="V98" s="149" t="s">
        <v>551</v>
      </c>
      <c r="W98" s="149" t="s">
        <v>551</v>
      </c>
      <c r="X98" s="149" t="s">
        <v>879</v>
      </c>
      <c r="Y98" s="147" t="s">
        <v>52</v>
      </c>
      <c r="Z98" s="147" t="s">
        <v>557</v>
      </c>
      <c r="AA98" s="147" t="s">
        <v>11</v>
      </c>
      <c r="AB98" s="147" t="s">
        <v>880</v>
      </c>
      <c r="AC98" s="147">
        <v>1.0</v>
      </c>
      <c r="AD98" s="147">
        <v>2.0</v>
      </c>
      <c r="AE98" s="147">
        <v>1.0</v>
      </c>
      <c r="AF98" s="147">
        <v>1.0</v>
      </c>
    </row>
    <row r="99" ht="15.75" customHeight="1">
      <c r="A99" s="141">
        <v>304.0</v>
      </c>
      <c r="B99" s="142" t="s">
        <v>52</v>
      </c>
      <c r="C99" s="275" t="str">
        <f>HYPERLINK("https://azurlane.koumakan.jp/Honolulu","Honolulu")</f>
        <v>Honolulu</v>
      </c>
      <c r="D99" s="142" t="s">
        <v>36</v>
      </c>
      <c r="E99" s="165">
        <v>3550.0</v>
      </c>
      <c r="F99" s="145">
        <v>166.0</v>
      </c>
      <c r="G99" s="145">
        <v>0.0</v>
      </c>
      <c r="H99" s="145">
        <v>0.0</v>
      </c>
      <c r="I99" s="145">
        <v>313.0</v>
      </c>
      <c r="J99" s="145">
        <v>183.0</v>
      </c>
      <c r="K99" s="145">
        <v>106.0</v>
      </c>
      <c r="L99" s="145" t="s">
        <v>29</v>
      </c>
      <c r="M99" s="145">
        <v>32.0</v>
      </c>
      <c r="N99" s="145">
        <v>162.0</v>
      </c>
      <c r="O99" s="145">
        <v>50.0</v>
      </c>
      <c r="P99" s="145">
        <v>100.0</v>
      </c>
      <c r="Q99" s="145">
        <v>9.0</v>
      </c>
      <c r="R99" s="145">
        <v>0.0</v>
      </c>
      <c r="S99" s="145">
        <v>0.0</v>
      </c>
      <c r="T99" s="147" t="s">
        <v>37</v>
      </c>
      <c r="U99" s="164" t="s">
        <v>575</v>
      </c>
      <c r="V99" s="149" t="s">
        <v>551</v>
      </c>
      <c r="W99" s="149" t="s">
        <v>551</v>
      </c>
      <c r="X99" s="149" t="s">
        <v>882</v>
      </c>
      <c r="Y99" s="147" t="s">
        <v>52</v>
      </c>
      <c r="Z99" s="147" t="s">
        <v>27</v>
      </c>
      <c r="AA99" s="147" t="s">
        <v>11</v>
      </c>
      <c r="AB99" s="147" t="s">
        <v>883</v>
      </c>
      <c r="AC99" s="147">
        <v>2.0</v>
      </c>
      <c r="AD99" s="147">
        <v>0.0</v>
      </c>
      <c r="AE99" s="147">
        <v>0.0</v>
      </c>
      <c r="AF99" s="147">
        <v>1.0</v>
      </c>
    </row>
    <row r="100" ht="15.75" customHeight="1">
      <c r="A100" s="141">
        <v>305.0</v>
      </c>
      <c r="B100" s="142" t="s">
        <v>52</v>
      </c>
      <c r="C100" s="275" t="str">
        <f>HYPERLINK("https://azurlane.koumakan.jp/St._Louis","St. Louis")</f>
        <v>St. Louis</v>
      </c>
      <c r="D100" s="142" t="s">
        <v>28</v>
      </c>
      <c r="E100" s="165">
        <v>3688.0</v>
      </c>
      <c r="F100" s="145">
        <v>174.0</v>
      </c>
      <c r="G100" s="145">
        <v>0.0</v>
      </c>
      <c r="H100" s="145">
        <v>0.0</v>
      </c>
      <c r="I100" s="145">
        <v>323.0</v>
      </c>
      <c r="J100" s="145">
        <v>188.0</v>
      </c>
      <c r="K100" s="145">
        <v>106.0</v>
      </c>
      <c r="L100" s="145" t="s">
        <v>29</v>
      </c>
      <c r="M100" s="145">
        <v>32.0</v>
      </c>
      <c r="N100" s="145">
        <v>170.0</v>
      </c>
      <c r="O100" s="145">
        <v>65.0</v>
      </c>
      <c r="P100" s="145">
        <v>102.0</v>
      </c>
      <c r="Q100" s="145">
        <v>10.0</v>
      </c>
      <c r="R100" s="145">
        <v>0.0</v>
      </c>
      <c r="S100" s="145">
        <v>0.0</v>
      </c>
      <c r="T100" s="147" t="s">
        <v>37</v>
      </c>
      <c r="U100" s="164" t="s">
        <v>974</v>
      </c>
      <c r="V100" s="161" t="s">
        <v>590</v>
      </c>
      <c r="W100" s="149" t="s">
        <v>551</v>
      </c>
      <c r="X100" s="149" t="s">
        <v>882</v>
      </c>
      <c r="Y100" s="147" t="s">
        <v>52</v>
      </c>
      <c r="Z100" s="147" t="s">
        <v>27</v>
      </c>
      <c r="AA100" s="147" t="s">
        <v>11</v>
      </c>
      <c r="AB100" s="147" t="s">
        <v>883</v>
      </c>
      <c r="AC100" s="147">
        <v>2.0</v>
      </c>
      <c r="AD100" s="147">
        <v>0.0</v>
      </c>
      <c r="AE100" s="147">
        <v>0.0</v>
      </c>
      <c r="AF100" s="147">
        <v>1.0</v>
      </c>
    </row>
    <row r="101" ht="15.75" customHeight="1">
      <c r="A101" s="141">
        <v>308.0</v>
      </c>
      <c r="B101" s="142" t="s">
        <v>52</v>
      </c>
      <c r="C101" s="275" t="str">
        <f>HYPERLINK("https://azurlane.koumakan.jp/Sendai","Sendai")</f>
        <v>Sendai</v>
      </c>
      <c r="D101" s="142" t="s">
        <v>36</v>
      </c>
      <c r="E101" s="165">
        <v>2599.0</v>
      </c>
      <c r="F101" s="145">
        <v>152.0</v>
      </c>
      <c r="G101" s="145">
        <v>330.0</v>
      </c>
      <c r="H101" s="145">
        <v>0.0</v>
      </c>
      <c r="I101" s="145">
        <v>282.0</v>
      </c>
      <c r="J101" s="145">
        <v>188.0</v>
      </c>
      <c r="K101" s="145">
        <v>128.0</v>
      </c>
      <c r="L101" s="145" t="s">
        <v>29</v>
      </c>
      <c r="M101" s="145">
        <v>35.0</v>
      </c>
      <c r="N101" s="145">
        <v>156.0</v>
      </c>
      <c r="O101" s="145">
        <v>42.0</v>
      </c>
      <c r="P101" s="145">
        <v>109.0</v>
      </c>
      <c r="Q101" s="145">
        <v>9.0</v>
      </c>
      <c r="R101" s="145">
        <v>0.0</v>
      </c>
      <c r="S101" s="145">
        <v>0.0</v>
      </c>
      <c r="T101" s="147" t="s">
        <v>143</v>
      </c>
      <c r="U101" s="148" t="s">
        <v>975</v>
      </c>
      <c r="V101" s="149" t="s">
        <v>551</v>
      </c>
      <c r="W101" s="149" t="s">
        <v>551</v>
      </c>
      <c r="X101" s="149" t="s">
        <v>976</v>
      </c>
      <c r="Y101" s="147" t="s">
        <v>52</v>
      </c>
      <c r="Z101" s="147" t="s">
        <v>557</v>
      </c>
      <c r="AA101" s="147" t="s">
        <v>11</v>
      </c>
      <c r="AB101" s="147" t="s">
        <v>977</v>
      </c>
      <c r="AC101" s="147">
        <v>1.0</v>
      </c>
      <c r="AD101" s="147">
        <v>2.0</v>
      </c>
      <c r="AE101" s="147">
        <v>1.0</v>
      </c>
      <c r="AF101" s="147">
        <v>1.0</v>
      </c>
    </row>
    <row r="102" ht="15.75" customHeight="1">
      <c r="A102" s="141">
        <v>308.1</v>
      </c>
      <c r="B102" s="142" t="s">
        <v>52</v>
      </c>
      <c r="C102" s="275" t="str">
        <f>HYPERLINK("https://azurlane.koumakan.jp/Sendai#Retrofit","Sendai (R)")</f>
        <v>Sendai (R)</v>
      </c>
      <c r="D102" s="142" t="s">
        <v>28</v>
      </c>
      <c r="E102" s="144">
        <v>2839.0</v>
      </c>
      <c r="F102" s="145">
        <v>172.0</v>
      </c>
      <c r="G102" s="145">
        <v>395.0</v>
      </c>
      <c r="H102" s="145">
        <v>0.0</v>
      </c>
      <c r="I102" s="145">
        <v>282.0</v>
      </c>
      <c r="J102" s="145">
        <v>193.0</v>
      </c>
      <c r="K102" s="145">
        <v>128.0</v>
      </c>
      <c r="L102" s="145" t="s">
        <v>29</v>
      </c>
      <c r="M102" s="145">
        <v>35.0</v>
      </c>
      <c r="N102" s="145">
        <v>156.0</v>
      </c>
      <c r="O102" s="169">
        <v>42.0</v>
      </c>
      <c r="P102" s="145">
        <v>109.0</v>
      </c>
      <c r="Q102" s="145">
        <v>9.0</v>
      </c>
      <c r="R102" s="145">
        <v>0.0</v>
      </c>
      <c r="S102" s="145">
        <v>0.0</v>
      </c>
      <c r="T102" s="147" t="s">
        <v>143</v>
      </c>
      <c r="U102" s="148" t="s">
        <v>975</v>
      </c>
      <c r="V102" s="149" t="s">
        <v>551</v>
      </c>
      <c r="W102" s="148" t="s">
        <v>978</v>
      </c>
      <c r="X102" s="149" t="s">
        <v>976</v>
      </c>
      <c r="Y102" s="147" t="s">
        <v>52</v>
      </c>
      <c r="Z102" s="147" t="s">
        <v>557</v>
      </c>
      <c r="AA102" s="147" t="s">
        <v>11</v>
      </c>
      <c r="AB102" s="147" t="s">
        <v>1322</v>
      </c>
      <c r="AC102" s="147">
        <v>1.0</v>
      </c>
      <c r="AD102" s="147">
        <v>2.0</v>
      </c>
      <c r="AE102" s="147">
        <v>1.0</v>
      </c>
      <c r="AF102" s="147">
        <v>1.0</v>
      </c>
    </row>
    <row r="103" ht="15.75" customHeight="1">
      <c r="A103" s="141">
        <v>309.0</v>
      </c>
      <c r="B103" s="142" t="s">
        <v>52</v>
      </c>
      <c r="C103" s="275" t="str">
        <f>HYPERLINK("https://azurlane.koumakan.jp/Jintsuu","Jintsuu")</f>
        <v>Jintsuu</v>
      </c>
      <c r="D103" s="142" t="s">
        <v>28</v>
      </c>
      <c r="E103" s="165">
        <v>2676.0</v>
      </c>
      <c r="F103" s="145">
        <v>158.0</v>
      </c>
      <c r="G103" s="145">
        <v>341.0</v>
      </c>
      <c r="H103" s="145">
        <v>0.0</v>
      </c>
      <c r="I103" s="145">
        <v>291.0</v>
      </c>
      <c r="J103" s="145">
        <v>194.0</v>
      </c>
      <c r="K103" s="145">
        <v>128.0</v>
      </c>
      <c r="L103" s="145" t="s">
        <v>29</v>
      </c>
      <c r="M103" s="145">
        <v>35.0</v>
      </c>
      <c r="N103" s="145">
        <v>156.0</v>
      </c>
      <c r="O103" s="145">
        <v>38.0</v>
      </c>
      <c r="P103" s="145">
        <v>101.0</v>
      </c>
      <c r="Q103" s="145">
        <v>10.0</v>
      </c>
      <c r="R103" s="145">
        <v>0.0</v>
      </c>
      <c r="S103" s="145">
        <v>0.0</v>
      </c>
      <c r="T103" s="147" t="s">
        <v>143</v>
      </c>
      <c r="U103" s="148" t="s">
        <v>980</v>
      </c>
      <c r="V103" s="149" t="s">
        <v>551</v>
      </c>
      <c r="W103" s="149" t="s">
        <v>551</v>
      </c>
      <c r="X103" s="149" t="s">
        <v>976</v>
      </c>
      <c r="Y103" s="147" t="s">
        <v>52</v>
      </c>
      <c r="Z103" s="147" t="s">
        <v>557</v>
      </c>
      <c r="AA103" s="147" t="s">
        <v>11</v>
      </c>
      <c r="AB103" s="147" t="s">
        <v>977</v>
      </c>
      <c r="AC103" s="147">
        <v>1.0</v>
      </c>
      <c r="AD103" s="147">
        <v>2.0</v>
      </c>
      <c r="AE103" s="147">
        <v>1.0</v>
      </c>
      <c r="AF103" s="147">
        <v>1.0</v>
      </c>
    </row>
    <row r="104" ht="15.75" customHeight="1">
      <c r="A104" s="141">
        <v>309.1</v>
      </c>
      <c r="B104" s="142" t="s">
        <v>52</v>
      </c>
      <c r="C104" s="275" t="str">
        <f>HYPERLINK("https://azurlane.koumakan.jp/Jintsuu#Retrofit","Jintsuu (R)")</f>
        <v>Jintsuu (R)</v>
      </c>
      <c r="D104" s="142" t="s">
        <v>32</v>
      </c>
      <c r="E104" s="144">
        <v>2916.0</v>
      </c>
      <c r="F104" s="145">
        <v>178.0</v>
      </c>
      <c r="G104" s="168">
        <v>406.0</v>
      </c>
      <c r="H104" s="145">
        <v>0.0</v>
      </c>
      <c r="I104" s="145">
        <v>306.0</v>
      </c>
      <c r="J104" s="145">
        <v>199.0</v>
      </c>
      <c r="K104" s="145">
        <v>128.0</v>
      </c>
      <c r="L104" s="145" t="s">
        <v>29</v>
      </c>
      <c r="M104" s="145">
        <v>35.0</v>
      </c>
      <c r="N104" s="145">
        <v>156.0</v>
      </c>
      <c r="O104" s="169">
        <v>38.0</v>
      </c>
      <c r="P104" s="145">
        <v>101.0</v>
      </c>
      <c r="Q104" s="145">
        <v>10.0</v>
      </c>
      <c r="R104" s="145">
        <v>0.0</v>
      </c>
      <c r="S104" s="145">
        <v>0.0</v>
      </c>
      <c r="T104" s="147" t="s">
        <v>143</v>
      </c>
      <c r="U104" s="148" t="s">
        <v>980</v>
      </c>
      <c r="V104" s="149" t="s">
        <v>551</v>
      </c>
      <c r="W104" s="148" t="s">
        <v>981</v>
      </c>
      <c r="X104" s="149" t="s">
        <v>976</v>
      </c>
      <c r="Y104" s="147" t="s">
        <v>52</v>
      </c>
      <c r="Z104" s="147" t="s">
        <v>557</v>
      </c>
      <c r="AA104" s="147" t="s">
        <v>11</v>
      </c>
      <c r="AB104" s="147" t="s">
        <v>1322</v>
      </c>
      <c r="AC104" s="147">
        <v>1.0</v>
      </c>
      <c r="AD104" s="147">
        <v>2.0</v>
      </c>
      <c r="AE104" s="147">
        <v>1.0</v>
      </c>
      <c r="AF104" s="147">
        <v>1.0</v>
      </c>
    </row>
    <row r="105" ht="15.75" customHeight="1">
      <c r="A105" s="141">
        <v>310.0</v>
      </c>
      <c r="B105" s="142" t="s">
        <v>52</v>
      </c>
      <c r="C105" s="275" t="str">
        <f>HYPERLINK("https://azurlane.koumakan.jp/Naka","Naka")</f>
        <v>Naka</v>
      </c>
      <c r="D105" s="142" t="s">
        <v>36</v>
      </c>
      <c r="E105" s="165">
        <v>2599.0</v>
      </c>
      <c r="F105" s="145">
        <v>153.0</v>
      </c>
      <c r="G105" s="145">
        <v>341.0</v>
      </c>
      <c r="H105" s="145">
        <v>0.0</v>
      </c>
      <c r="I105" s="145">
        <v>292.0</v>
      </c>
      <c r="J105" s="145">
        <v>188.0</v>
      </c>
      <c r="K105" s="145">
        <v>128.0</v>
      </c>
      <c r="L105" s="145" t="s">
        <v>29</v>
      </c>
      <c r="M105" s="145">
        <v>35.0</v>
      </c>
      <c r="N105" s="145">
        <v>156.0</v>
      </c>
      <c r="O105" s="145">
        <v>53.0</v>
      </c>
      <c r="P105" s="145">
        <v>105.0</v>
      </c>
      <c r="Q105" s="145">
        <v>9.0</v>
      </c>
      <c r="R105" s="145">
        <v>0.0</v>
      </c>
      <c r="S105" s="145">
        <v>0.0</v>
      </c>
      <c r="T105" s="147" t="s">
        <v>143</v>
      </c>
      <c r="U105" s="148" t="s">
        <v>975</v>
      </c>
      <c r="V105" s="149" t="s">
        <v>551</v>
      </c>
      <c r="W105" s="149" t="s">
        <v>551</v>
      </c>
      <c r="X105" s="149" t="s">
        <v>976</v>
      </c>
      <c r="Y105" s="147" t="s">
        <v>52</v>
      </c>
      <c r="Z105" s="147" t="s">
        <v>557</v>
      </c>
      <c r="AA105" s="147" t="s">
        <v>11</v>
      </c>
      <c r="AB105" s="147" t="s">
        <v>977</v>
      </c>
      <c r="AC105" s="147">
        <v>1.0</v>
      </c>
      <c r="AD105" s="147">
        <v>2.0</v>
      </c>
      <c r="AE105" s="147">
        <v>1.0</v>
      </c>
      <c r="AF105" s="147">
        <v>1.0</v>
      </c>
    </row>
    <row r="106" ht="15.75" customHeight="1">
      <c r="A106" s="141">
        <v>321.0</v>
      </c>
      <c r="B106" s="142" t="s">
        <v>52</v>
      </c>
      <c r="C106" s="275" t="str">
        <f>HYPERLINK("https://azurlane.koumakan.jp/Agano","Agano")</f>
        <v>Agano</v>
      </c>
      <c r="D106" s="142" t="s">
        <v>28</v>
      </c>
      <c r="E106" s="165">
        <v>3233.0</v>
      </c>
      <c r="F106" s="145">
        <v>150.0</v>
      </c>
      <c r="G106" s="145">
        <v>358.0</v>
      </c>
      <c r="H106" s="145">
        <v>0.0</v>
      </c>
      <c r="I106" s="145">
        <v>330.0</v>
      </c>
      <c r="J106" s="145">
        <v>171.0</v>
      </c>
      <c r="K106" s="145">
        <v>123.0</v>
      </c>
      <c r="L106" s="145" t="s">
        <v>29</v>
      </c>
      <c r="M106" s="145">
        <v>35.0</v>
      </c>
      <c r="N106" s="145">
        <v>152.0</v>
      </c>
      <c r="O106" s="145">
        <v>21.0</v>
      </c>
      <c r="P106" s="145">
        <v>80.0</v>
      </c>
      <c r="Q106" s="145">
        <v>10.0</v>
      </c>
      <c r="R106" s="145">
        <v>0.0</v>
      </c>
      <c r="S106" s="145">
        <v>0.0</v>
      </c>
      <c r="T106" s="147" t="s">
        <v>143</v>
      </c>
      <c r="U106" s="148" t="s">
        <v>585</v>
      </c>
      <c r="V106" s="161" t="s">
        <v>602</v>
      </c>
      <c r="W106" s="149" t="s">
        <v>551</v>
      </c>
      <c r="X106" s="149" t="s">
        <v>983</v>
      </c>
      <c r="Y106" s="147" t="s">
        <v>52</v>
      </c>
      <c r="Z106" s="147" t="s">
        <v>557</v>
      </c>
      <c r="AA106" s="147" t="s">
        <v>11</v>
      </c>
      <c r="AB106" s="147" t="s">
        <v>984</v>
      </c>
      <c r="AC106" s="147">
        <v>1.0</v>
      </c>
      <c r="AD106" s="147">
        <v>2.0</v>
      </c>
      <c r="AE106" s="147">
        <v>1.0</v>
      </c>
      <c r="AF106" s="147">
        <v>1.0</v>
      </c>
    </row>
    <row r="107" ht="15.75" customHeight="1">
      <c r="A107" s="182">
        <v>322.0</v>
      </c>
      <c r="B107" s="183" t="s">
        <v>52</v>
      </c>
      <c r="C107" s="264" t="str">
        <f>HYPERLINK("https://azurlane.koumakan.jp/Noshiro","Noshiro")</f>
        <v>Noshiro</v>
      </c>
      <c r="D107" s="170" t="s">
        <v>32</v>
      </c>
      <c r="E107" s="191">
        <v>3354.0</v>
      </c>
      <c r="F107" s="170">
        <v>177.0</v>
      </c>
      <c r="G107" s="170">
        <v>378.0</v>
      </c>
      <c r="H107" s="170">
        <v>0.0</v>
      </c>
      <c r="I107" s="170">
        <v>341.0</v>
      </c>
      <c r="J107" s="170">
        <v>183.0</v>
      </c>
      <c r="K107" s="170">
        <v>123.0</v>
      </c>
      <c r="L107" s="170" t="s">
        <v>29</v>
      </c>
      <c r="M107" s="170">
        <v>35.0</v>
      </c>
      <c r="N107" s="170">
        <v>176.0</v>
      </c>
      <c r="O107" s="170">
        <v>55.0</v>
      </c>
      <c r="P107" s="170">
        <v>99.0</v>
      </c>
      <c r="Q107" s="170">
        <v>11.0</v>
      </c>
      <c r="R107" s="170">
        <v>0.0</v>
      </c>
      <c r="S107" s="170">
        <v>0.0</v>
      </c>
      <c r="T107" s="170" t="s">
        <v>143</v>
      </c>
      <c r="U107" s="225" t="s">
        <v>985</v>
      </c>
      <c r="V107" s="229" t="s">
        <v>986</v>
      </c>
      <c r="W107" s="183" t="s">
        <v>551</v>
      </c>
      <c r="X107" s="183" t="s">
        <v>987</v>
      </c>
      <c r="Y107" s="218" t="s">
        <v>52</v>
      </c>
      <c r="Z107" s="218" t="s">
        <v>557</v>
      </c>
      <c r="AA107" s="218" t="s">
        <v>11</v>
      </c>
      <c r="AB107" s="218" t="s">
        <v>988</v>
      </c>
      <c r="AC107" s="218">
        <v>1.0</v>
      </c>
      <c r="AD107" s="218">
        <v>2.0</v>
      </c>
      <c r="AE107" s="218">
        <v>1.0</v>
      </c>
      <c r="AF107" s="218">
        <v>1.0</v>
      </c>
    </row>
    <row r="108" ht="15.75" customHeight="1">
      <c r="A108" s="141">
        <v>327.0</v>
      </c>
      <c r="B108" s="142" t="s">
        <v>52</v>
      </c>
      <c r="C108" s="275" t="str">
        <f>HYPERLINK("https://azurlane.koumakan.jp/Fiji","Fiji")</f>
        <v>Fiji</v>
      </c>
      <c r="D108" s="142" t="s">
        <v>36</v>
      </c>
      <c r="E108" s="165">
        <v>3670.0</v>
      </c>
      <c r="F108" s="145">
        <v>161.0</v>
      </c>
      <c r="G108" s="145">
        <v>272.0</v>
      </c>
      <c r="H108" s="145">
        <v>0.0</v>
      </c>
      <c r="I108" s="145">
        <v>261.0</v>
      </c>
      <c r="J108" s="145">
        <v>185.0</v>
      </c>
      <c r="K108" s="145">
        <v>119.0</v>
      </c>
      <c r="L108" s="145" t="s">
        <v>29</v>
      </c>
      <c r="M108" s="145">
        <v>32.0</v>
      </c>
      <c r="N108" s="145">
        <v>176.0</v>
      </c>
      <c r="O108" s="145">
        <v>11.0</v>
      </c>
      <c r="P108" s="145">
        <v>119.0</v>
      </c>
      <c r="Q108" s="145">
        <v>9.0</v>
      </c>
      <c r="R108" s="145">
        <v>0.0</v>
      </c>
      <c r="S108" s="145">
        <v>0.0</v>
      </c>
      <c r="T108" s="147" t="s">
        <v>104</v>
      </c>
      <c r="U108" s="161" t="s">
        <v>989</v>
      </c>
      <c r="V108" s="149" t="s">
        <v>551</v>
      </c>
      <c r="W108" s="149" t="s">
        <v>551</v>
      </c>
      <c r="X108" s="149" t="s">
        <v>990</v>
      </c>
      <c r="Y108" s="147" t="s">
        <v>52</v>
      </c>
      <c r="Z108" s="147" t="s">
        <v>557</v>
      </c>
      <c r="AA108" s="147" t="s">
        <v>11</v>
      </c>
      <c r="AB108" s="147" t="s">
        <v>991</v>
      </c>
      <c r="AC108" s="147">
        <v>1.0</v>
      </c>
      <c r="AD108" s="147">
        <v>2.0</v>
      </c>
      <c r="AE108" s="147">
        <v>1.0</v>
      </c>
      <c r="AF108" s="147">
        <v>1.0</v>
      </c>
    </row>
    <row r="109" ht="15.75" customHeight="1">
      <c r="A109" s="141">
        <v>328.0</v>
      </c>
      <c r="B109" s="142" t="s">
        <v>52</v>
      </c>
      <c r="C109" s="275" t="str">
        <f>HYPERLINK("https://azurlane.koumakan.jp/Jamaica","Jamaica")</f>
        <v>Jamaica</v>
      </c>
      <c r="D109" s="142" t="s">
        <v>36</v>
      </c>
      <c r="E109" s="165">
        <v>3721.0</v>
      </c>
      <c r="F109" s="145">
        <v>160.0</v>
      </c>
      <c r="G109" s="145">
        <v>272.0</v>
      </c>
      <c r="H109" s="145">
        <v>0.0</v>
      </c>
      <c r="I109" s="145">
        <v>336.0</v>
      </c>
      <c r="J109" s="145">
        <v>185.0</v>
      </c>
      <c r="K109" s="145">
        <v>119.0</v>
      </c>
      <c r="L109" s="145" t="s">
        <v>29</v>
      </c>
      <c r="M109" s="145">
        <v>32.0</v>
      </c>
      <c r="N109" s="145">
        <v>175.0</v>
      </c>
      <c r="O109" s="145">
        <v>67.0</v>
      </c>
      <c r="P109" s="145">
        <v>125.0</v>
      </c>
      <c r="Q109" s="145">
        <v>9.0</v>
      </c>
      <c r="R109" s="145">
        <v>0.0</v>
      </c>
      <c r="S109" s="145">
        <v>0.0</v>
      </c>
      <c r="T109" s="147" t="s">
        <v>104</v>
      </c>
      <c r="U109" s="164" t="s">
        <v>992</v>
      </c>
      <c r="V109" s="149" t="s">
        <v>551</v>
      </c>
      <c r="W109" s="149" t="s">
        <v>551</v>
      </c>
      <c r="X109" s="149" t="s">
        <v>990</v>
      </c>
      <c r="Y109" s="147" t="s">
        <v>52</v>
      </c>
      <c r="Z109" s="147" t="s">
        <v>557</v>
      </c>
      <c r="AA109" s="147" t="s">
        <v>11</v>
      </c>
      <c r="AB109" s="147" t="s">
        <v>991</v>
      </c>
      <c r="AC109" s="147">
        <v>1.0</v>
      </c>
      <c r="AD109" s="147">
        <v>2.0</v>
      </c>
      <c r="AE109" s="147">
        <v>1.0</v>
      </c>
      <c r="AF109" s="147">
        <v>1.0</v>
      </c>
    </row>
    <row r="110">
      <c r="A110" s="141">
        <v>329.0</v>
      </c>
      <c r="B110" s="142" t="s">
        <v>52</v>
      </c>
      <c r="C110" s="275" t="str">
        <f>HYPERLINK("https://azurlane.koumakan.jp/Montpelier","Montpelier")</f>
        <v>Montpelier</v>
      </c>
      <c r="D110" s="149" t="s">
        <v>32</v>
      </c>
      <c r="E110" s="165">
        <v>4461.0</v>
      </c>
      <c r="F110" s="145">
        <v>172.0</v>
      </c>
      <c r="G110" s="145">
        <v>0.0</v>
      </c>
      <c r="H110" s="145">
        <v>0.0</v>
      </c>
      <c r="I110" s="145">
        <v>341.0</v>
      </c>
      <c r="J110" s="145">
        <v>196.0</v>
      </c>
      <c r="K110" s="145">
        <v>109.0</v>
      </c>
      <c r="L110" s="145" t="s">
        <v>29</v>
      </c>
      <c r="M110" s="145">
        <v>32.0</v>
      </c>
      <c r="N110" s="145">
        <v>168.0</v>
      </c>
      <c r="O110" s="145">
        <v>72.0</v>
      </c>
      <c r="P110" s="145">
        <v>105.0</v>
      </c>
      <c r="Q110" s="145">
        <v>11.0</v>
      </c>
      <c r="R110" s="145">
        <v>0.0</v>
      </c>
      <c r="S110" s="145">
        <v>0.0</v>
      </c>
      <c r="T110" s="147" t="s">
        <v>37</v>
      </c>
      <c r="U110" s="148" t="s">
        <v>993</v>
      </c>
      <c r="V110" s="161" t="s">
        <v>590</v>
      </c>
      <c r="W110" s="149" t="s">
        <v>551</v>
      </c>
      <c r="X110" s="149" t="s">
        <v>900</v>
      </c>
      <c r="Y110" s="147" t="s">
        <v>52</v>
      </c>
      <c r="Z110" s="147" t="s">
        <v>27</v>
      </c>
      <c r="AA110" s="147" t="s">
        <v>11</v>
      </c>
      <c r="AB110" s="147" t="s">
        <v>994</v>
      </c>
      <c r="AC110" s="147">
        <v>2.0</v>
      </c>
      <c r="AD110" s="147">
        <v>0.0</v>
      </c>
      <c r="AE110" s="147">
        <v>0.0</v>
      </c>
      <c r="AF110" s="147">
        <v>1.0</v>
      </c>
    </row>
    <row r="111">
      <c r="A111" s="141">
        <v>330.0</v>
      </c>
      <c r="B111" s="142" t="s">
        <v>52</v>
      </c>
      <c r="C111" s="275" t="str">
        <f>HYPERLINK("https://azurlane.koumakan.jp/Denver","Denver")</f>
        <v>Denver</v>
      </c>
      <c r="D111" s="149" t="s">
        <v>28</v>
      </c>
      <c r="E111" s="165">
        <v>4406.0</v>
      </c>
      <c r="F111" s="145">
        <v>159.0</v>
      </c>
      <c r="G111" s="145">
        <v>0.0</v>
      </c>
      <c r="H111" s="145">
        <v>0.0</v>
      </c>
      <c r="I111" s="145">
        <v>328.0</v>
      </c>
      <c r="J111" s="145">
        <v>188.0</v>
      </c>
      <c r="K111" s="145">
        <v>109.0</v>
      </c>
      <c r="L111" s="145" t="s">
        <v>29</v>
      </c>
      <c r="M111" s="145">
        <v>32.0</v>
      </c>
      <c r="N111" s="145">
        <v>165.0</v>
      </c>
      <c r="O111" s="145">
        <v>69.0</v>
      </c>
      <c r="P111" s="145">
        <v>102.0</v>
      </c>
      <c r="Q111" s="145">
        <v>10.0</v>
      </c>
      <c r="R111" s="145">
        <v>0.0</v>
      </c>
      <c r="S111" s="145">
        <v>0.0</v>
      </c>
      <c r="T111" s="147" t="s">
        <v>37</v>
      </c>
      <c r="U111" s="164" t="s">
        <v>575</v>
      </c>
      <c r="V111" s="161" t="s">
        <v>590</v>
      </c>
      <c r="W111" s="149" t="s">
        <v>551</v>
      </c>
      <c r="X111" s="149" t="s">
        <v>900</v>
      </c>
      <c r="Y111" s="147" t="s">
        <v>52</v>
      </c>
      <c r="Z111" s="147" t="s">
        <v>27</v>
      </c>
      <c r="AA111" s="147" t="s">
        <v>11</v>
      </c>
      <c r="AB111" s="147" t="s">
        <v>901</v>
      </c>
      <c r="AC111" s="147">
        <v>2.0</v>
      </c>
      <c r="AD111" s="147">
        <v>0.0</v>
      </c>
      <c r="AE111" s="147">
        <v>0.0</v>
      </c>
      <c r="AF111" s="147">
        <v>1.0</v>
      </c>
    </row>
    <row r="112">
      <c r="A112" s="141">
        <v>335.0</v>
      </c>
      <c r="B112" s="142" t="s">
        <v>52</v>
      </c>
      <c r="C112" s="275" t="str">
        <f>HYPERLINK("https://azurlane.koumakan.jp/Little_Bel","Little Bel")</f>
        <v>Little Bel</v>
      </c>
      <c r="D112" s="142" t="s">
        <v>28</v>
      </c>
      <c r="E112" s="165">
        <v>3306.0</v>
      </c>
      <c r="F112" s="145">
        <v>161.0</v>
      </c>
      <c r="G112" s="145">
        <v>329.0</v>
      </c>
      <c r="H112" s="145">
        <v>0.0</v>
      </c>
      <c r="I112" s="145">
        <v>289.0</v>
      </c>
      <c r="J112" s="145">
        <v>188.0</v>
      </c>
      <c r="K112" s="145">
        <v>113.0</v>
      </c>
      <c r="L112" s="145" t="s">
        <v>29</v>
      </c>
      <c r="M112" s="145">
        <v>32.0</v>
      </c>
      <c r="N112" s="145">
        <v>164.0</v>
      </c>
      <c r="O112" s="168">
        <v>89.0</v>
      </c>
      <c r="P112" s="145">
        <v>150.0</v>
      </c>
      <c r="Q112" s="145">
        <v>10.0</v>
      </c>
      <c r="R112" s="145">
        <v>0.0</v>
      </c>
      <c r="S112" s="145">
        <v>0.0</v>
      </c>
      <c r="T112" s="147" t="s">
        <v>104</v>
      </c>
      <c r="U112" s="161" t="s">
        <v>995</v>
      </c>
      <c r="V112" s="161" t="s">
        <v>996</v>
      </c>
      <c r="W112" s="149" t="s">
        <v>551</v>
      </c>
      <c r="X112" s="149" t="s">
        <v>922</v>
      </c>
      <c r="Y112" s="147" t="s">
        <v>52</v>
      </c>
      <c r="Z112" s="147" t="s">
        <v>557</v>
      </c>
      <c r="AA112" s="147" t="s">
        <v>11</v>
      </c>
      <c r="AB112" s="147" t="s">
        <v>997</v>
      </c>
      <c r="AC112" s="147">
        <v>1.0</v>
      </c>
      <c r="AD112" s="147">
        <v>2.0</v>
      </c>
      <c r="AE112" s="147">
        <v>1.0</v>
      </c>
      <c r="AF112" s="147">
        <v>1.0</v>
      </c>
    </row>
    <row r="113">
      <c r="A113" s="141">
        <v>337.0</v>
      </c>
      <c r="B113" s="142" t="s">
        <v>66</v>
      </c>
      <c r="C113" s="275" t="str">
        <f>HYPERLINK("https://azurlane.koumakan.jp/Sussex","Sussex")</f>
        <v>Sussex</v>
      </c>
      <c r="D113" s="142" t="s">
        <v>36</v>
      </c>
      <c r="E113" s="165">
        <v>3542.0</v>
      </c>
      <c r="F113" s="145">
        <v>205.0</v>
      </c>
      <c r="G113" s="145">
        <v>218.0</v>
      </c>
      <c r="H113" s="145">
        <v>0.0</v>
      </c>
      <c r="I113" s="145">
        <v>261.0</v>
      </c>
      <c r="J113" s="145">
        <v>162.0</v>
      </c>
      <c r="K113" s="145">
        <v>74.0</v>
      </c>
      <c r="L113" s="145" t="s">
        <v>29</v>
      </c>
      <c r="M113" s="145">
        <v>25.0</v>
      </c>
      <c r="N113" s="145">
        <v>120.0</v>
      </c>
      <c r="O113" s="145">
        <v>68.0</v>
      </c>
      <c r="P113" s="145">
        <v>0.0</v>
      </c>
      <c r="Q113" s="145">
        <v>10.0</v>
      </c>
      <c r="R113" s="145">
        <v>0.0</v>
      </c>
      <c r="S113" s="145">
        <v>0.0</v>
      </c>
      <c r="T113" s="147" t="s">
        <v>104</v>
      </c>
      <c r="U113" s="164" t="s">
        <v>1158</v>
      </c>
      <c r="V113" s="149" t="s">
        <v>551</v>
      </c>
      <c r="W113" s="149" t="s">
        <v>551</v>
      </c>
      <c r="X113" s="149" t="s">
        <v>1165</v>
      </c>
      <c r="Y113" s="147" t="s">
        <v>66</v>
      </c>
      <c r="Z113" s="147" t="s">
        <v>557</v>
      </c>
      <c r="AA113" s="147" t="s">
        <v>11</v>
      </c>
      <c r="AB113" s="147" t="s">
        <v>1166</v>
      </c>
      <c r="AC113" s="147">
        <v>1.0</v>
      </c>
      <c r="AD113" s="147">
        <v>2.0</v>
      </c>
      <c r="AE113" s="147">
        <v>1.0</v>
      </c>
      <c r="AF113" s="147">
        <v>1.0</v>
      </c>
    </row>
    <row r="114">
      <c r="A114" s="141">
        <v>349.0</v>
      </c>
      <c r="B114" s="142" t="s">
        <v>52</v>
      </c>
      <c r="C114" s="275" t="str">
        <f>HYPERLINK("https://azurlane.koumakan.jp/Emile_Bertin","Emile Bertin")</f>
        <v>Emile Bertin</v>
      </c>
      <c r="D114" s="142" t="s">
        <v>28</v>
      </c>
      <c r="E114" s="165">
        <v>3259.0</v>
      </c>
      <c r="F114" s="145">
        <v>163.0</v>
      </c>
      <c r="G114" s="145">
        <v>277.0</v>
      </c>
      <c r="H114" s="145">
        <v>0.0</v>
      </c>
      <c r="I114" s="145">
        <v>278.0</v>
      </c>
      <c r="J114" s="145">
        <v>175.0</v>
      </c>
      <c r="K114" s="168">
        <v>139.0</v>
      </c>
      <c r="L114" s="145" t="s">
        <v>29</v>
      </c>
      <c r="M114" s="145">
        <v>34.0</v>
      </c>
      <c r="N114" s="145">
        <v>175.0</v>
      </c>
      <c r="O114" s="145">
        <v>67.0</v>
      </c>
      <c r="P114" s="145">
        <v>146.0</v>
      </c>
      <c r="Q114" s="145">
        <v>10.0</v>
      </c>
      <c r="R114" s="145">
        <v>0.0</v>
      </c>
      <c r="S114" s="145">
        <v>0.0</v>
      </c>
      <c r="T114" s="147" t="s">
        <v>243</v>
      </c>
      <c r="U114" s="148" t="s">
        <v>1323</v>
      </c>
      <c r="V114" s="148" t="s">
        <v>999</v>
      </c>
      <c r="W114" s="149" t="s">
        <v>551</v>
      </c>
      <c r="X114" s="149" t="s">
        <v>1000</v>
      </c>
      <c r="Y114" s="147" t="s">
        <v>52</v>
      </c>
      <c r="Z114" s="147" t="s">
        <v>557</v>
      </c>
      <c r="AA114" s="147" t="s">
        <v>11</v>
      </c>
      <c r="AB114" s="147" t="s">
        <v>1001</v>
      </c>
      <c r="AC114" s="147">
        <v>1.0</v>
      </c>
      <c r="AD114" s="147">
        <v>2.0</v>
      </c>
      <c r="AE114" s="147">
        <v>1.0</v>
      </c>
      <c r="AF114" s="147">
        <v>1.0</v>
      </c>
    </row>
    <row r="115">
      <c r="A115" s="232">
        <v>349.1</v>
      </c>
      <c r="B115" s="233" t="s">
        <v>52</v>
      </c>
      <c r="C115" s="279" t="str">
        <f>HYPERLINK("https://azurlane.koumakan.jp/Emile_Bertin#Retrofit","Emile Bertin (R)")</f>
        <v>Emile Bertin (R)</v>
      </c>
      <c r="D115" s="235" t="s">
        <v>32</v>
      </c>
      <c r="E115" s="236">
        <v>3499.0</v>
      </c>
      <c r="F115" s="237">
        <v>193.0</v>
      </c>
      <c r="G115" s="237">
        <v>302.0</v>
      </c>
      <c r="H115" s="238">
        <v>0.0</v>
      </c>
      <c r="I115" s="237">
        <v>333.0</v>
      </c>
      <c r="J115" s="237">
        <v>180.0</v>
      </c>
      <c r="K115" s="239">
        <v>139.0</v>
      </c>
      <c r="L115" s="238" t="s">
        <v>29</v>
      </c>
      <c r="M115" s="237">
        <v>34.0</v>
      </c>
      <c r="N115" s="237">
        <v>180.0</v>
      </c>
      <c r="O115" s="238">
        <v>67.0</v>
      </c>
      <c r="P115" s="237">
        <v>146.0</v>
      </c>
      <c r="Q115" s="238">
        <v>10.0</v>
      </c>
      <c r="R115" s="237">
        <v>0.0</v>
      </c>
      <c r="S115" s="237">
        <v>0.0</v>
      </c>
      <c r="T115" s="147" t="s">
        <v>243</v>
      </c>
      <c r="U115" s="148" t="s">
        <v>1323</v>
      </c>
      <c r="V115" s="148" t="s">
        <v>999</v>
      </c>
      <c r="W115" s="164" t="s">
        <v>1324</v>
      </c>
      <c r="X115" s="149" t="s">
        <v>1000</v>
      </c>
      <c r="Y115" s="147" t="s">
        <v>52</v>
      </c>
      <c r="Z115" s="147" t="s">
        <v>557</v>
      </c>
      <c r="AA115" s="147" t="s">
        <v>11</v>
      </c>
      <c r="AB115" s="147" t="s">
        <v>1003</v>
      </c>
      <c r="AC115" s="217">
        <v>1.0</v>
      </c>
      <c r="AD115" s="217">
        <v>2.0</v>
      </c>
      <c r="AE115" s="217">
        <v>1.0</v>
      </c>
      <c r="AF115" s="217">
        <v>1.0</v>
      </c>
    </row>
    <row r="116">
      <c r="A116" s="141">
        <v>360.0</v>
      </c>
      <c r="B116" s="142" t="s">
        <v>52</v>
      </c>
      <c r="C116" s="275" t="str">
        <f>HYPERLINK("https://azurlane.koumakan.jp/Memphis","Memphis")</f>
        <v>Memphis</v>
      </c>
      <c r="D116" s="142" t="s">
        <v>36</v>
      </c>
      <c r="E116" s="158">
        <v>3378.0</v>
      </c>
      <c r="F116" s="158">
        <v>148.0</v>
      </c>
      <c r="G116" s="158">
        <v>215.0</v>
      </c>
      <c r="H116" s="158">
        <v>0.0</v>
      </c>
      <c r="I116" s="158">
        <v>301.0</v>
      </c>
      <c r="J116" s="158">
        <v>188.0</v>
      </c>
      <c r="K116" s="158">
        <v>120.0</v>
      </c>
      <c r="L116" s="158" t="s">
        <v>29</v>
      </c>
      <c r="M116" s="158">
        <v>35.0</v>
      </c>
      <c r="N116" s="145">
        <v>156.0</v>
      </c>
      <c r="O116" s="169">
        <v>67.0</v>
      </c>
      <c r="P116" s="158">
        <v>84.0</v>
      </c>
      <c r="Q116" s="158">
        <v>9.0</v>
      </c>
      <c r="R116" s="158">
        <v>0.0</v>
      </c>
      <c r="S116" s="158">
        <v>0.0</v>
      </c>
      <c r="T116" s="147" t="s">
        <v>37</v>
      </c>
      <c r="U116" s="164" t="s">
        <v>562</v>
      </c>
      <c r="V116" s="149" t="s">
        <v>551</v>
      </c>
      <c r="W116" s="230" t="s">
        <v>551</v>
      </c>
      <c r="X116" s="149" t="s">
        <v>879</v>
      </c>
      <c r="Y116" s="147" t="s">
        <v>52</v>
      </c>
      <c r="Z116" s="147" t="s">
        <v>557</v>
      </c>
      <c r="AA116" s="147" t="s">
        <v>11</v>
      </c>
      <c r="AB116" s="147" t="s">
        <v>1004</v>
      </c>
      <c r="AC116" s="147">
        <v>1.0</v>
      </c>
      <c r="AD116" s="147">
        <v>2.0</v>
      </c>
      <c r="AE116" s="147">
        <v>1.0</v>
      </c>
      <c r="AF116" s="147">
        <v>1.0</v>
      </c>
    </row>
    <row r="117">
      <c r="A117" s="141">
        <v>361.0</v>
      </c>
      <c r="B117" s="142" t="s">
        <v>52</v>
      </c>
      <c r="C117" s="275" t="str">
        <f>HYPERLINK("https://azurlane.koumakan.jp/Newcastle","Newcastle")</f>
        <v>Newcastle</v>
      </c>
      <c r="D117" s="142" t="s">
        <v>36</v>
      </c>
      <c r="E117" s="145">
        <v>3773.0</v>
      </c>
      <c r="F117" s="145">
        <v>147.0</v>
      </c>
      <c r="G117" s="145">
        <v>289.0</v>
      </c>
      <c r="H117" s="145">
        <v>0.0</v>
      </c>
      <c r="I117" s="145">
        <v>354.0</v>
      </c>
      <c r="J117" s="145">
        <v>181.0</v>
      </c>
      <c r="K117" s="145">
        <v>119.0</v>
      </c>
      <c r="L117" s="145" t="s">
        <v>29</v>
      </c>
      <c r="M117" s="145">
        <v>32.0</v>
      </c>
      <c r="N117" s="145">
        <v>164.0</v>
      </c>
      <c r="O117" s="145">
        <v>78.0</v>
      </c>
      <c r="P117" s="145">
        <v>86.0</v>
      </c>
      <c r="Q117" s="145">
        <v>9.0</v>
      </c>
      <c r="R117" s="145">
        <v>0.0</v>
      </c>
      <c r="S117" s="145">
        <v>0.0</v>
      </c>
      <c r="T117" s="147" t="s">
        <v>104</v>
      </c>
      <c r="U117" s="161" t="s">
        <v>590</v>
      </c>
      <c r="V117" s="148" t="s">
        <v>717</v>
      </c>
      <c r="W117" s="230" t="s">
        <v>551</v>
      </c>
      <c r="X117" s="149" t="s">
        <v>914</v>
      </c>
      <c r="Y117" s="147" t="s">
        <v>52</v>
      </c>
      <c r="Z117" s="147" t="s">
        <v>557</v>
      </c>
      <c r="AA117" s="147" t="s">
        <v>11</v>
      </c>
      <c r="AB117" s="147" t="s">
        <v>1005</v>
      </c>
      <c r="AC117" s="147">
        <v>1.0</v>
      </c>
      <c r="AD117" s="147">
        <v>2.0</v>
      </c>
      <c r="AE117" s="147">
        <v>1.0</v>
      </c>
      <c r="AF117" s="147">
        <v>1.0</v>
      </c>
    </row>
    <row r="118">
      <c r="A118" s="141">
        <v>361.1</v>
      </c>
      <c r="B118" s="142" t="s">
        <v>52</v>
      </c>
      <c r="C118" s="275" t="str">
        <f>HYPERLINK("https://azurlane.koumakan.jp/Newcastle#Retrofit","Newcastle (R)")</f>
        <v>Newcastle (R)</v>
      </c>
      <c r="D118" s="142" t="s">
        <v>28</v>
      </c>
      <c r="E118" s="158">
        <v>4013.0</v>
      </c>
      <c r="F118" s="145">
        <v>177.0</v>
      </c>
      <c r="G118" s="145">
        <v>289.0</v>
      </c>
      <c r="H118" s="145">
        <v>0.0</v>
      </c>
      <c r="I118" s="145">
        <v>394.0</v>
      </c>
      <c r="J118" s="145">
        <v>196.0</v>
      </c>
      <c r="K118" s="145">
        <v>119.0</v>
      </c>
      <c r="L118" s="145" t="s">
        <v>29</v>
      </c>
      <c r="M118" s="145">
        <v>32.0</v>
      </c>
      <c r="N118" s="145">
        <v>169.0</v>
      </c>
      <c r="O118" s="169">
        <v>78.0</v>
      </c>
      <c r="P118" s="145">
        <v>86.0</v>
      </c>
      <c r="Q118" s="145">
        <v>9.0</v>
      </c>
      <c r="R118" s="145">
        <v>0.0</v>
      </c>
      <c r="S118" s="145">
        <v>0.0</v>
      </c>
      <c r="T118" s="147" t="s">
        <v>104</v>
      </c>
      <c r="U118" s="161" t="s">
        <v>590</v>
      </c>
      <c r="V118" s="148" t="s">
        <v>717</v>
      </c>
      <c r="W118" s="280" t="s">
        <v>1006</v>
      </c>
      <c r="X118" s="149" t="s">
        <v>914</v>
      </c>
      <c r="Y118" s="147" t="s">
        <v>52</v>
      </c>
      <c r="Z118" s="147" t="s">
        <v>557</v>
      </c>
      <c r="AA118" s="147" t="s">
        <v>11</v>
      </c>
      <c r="AB118" s="147" t="s">
        <v>1007</v>
      </c>
      <c r="AC118" s="147">
        <v>1.0</v>
      </c>
      <c r="AD118" s="147">
        <v>2.0</v>
      </c>
      <c r="AE118" s="147">
        <v>1.0</v>
      </c>
      <c r="AF118" s="147">
        <v>1.0</v>
      </c>
    </row>
    <row r="119">
      <c r="A119" s="141">
        <v>364.0</v>
      </c>
      <c r="B119" s="142" t="s">
        <v>66</v>
      </c>
      <c r="C119" s="275" t="str">
        <f>HYPERLINK("https://azurlane.koumakan.jp/Minneapolis","Minneapolis")</f>
        <v>Minneapolis</v>
      </c>
      <c r="D119" s="142" t="s">
        <v>32</v>
      </c>
      <c r="E119" s="165">
        <v>4248.0</v>
      </c>
      <c r="F119" s="145">
        <v>262.0</v>
      </c>
      <c r="G119" s="145">
        <v>0.0</v>
      </c>
      <c r="H119" s="145">
        <v>0.0</v>
      </c>
      <c r="I119" s="145">
        <v>253.0</v>
      </c>
      <c r="J119" s="145">
        <v>185.0</v>
      </c>
      <c r="K119" s="145">
        <v>59.0</v>
      </c>
      <c r="L119" s="145" t="s">
        <v>71</v>
      </c>
      <c r="M119" s="145">
        <v>26.0</v>
      </c>
      <c r="N119" s="145">
        <v>131.0</v>
      </c>
      <c r="O119" s="145">
        <v>76.0</v>
      </c>
      <c r="P119" s="145">
        <v>0.0</v>
      </c>
      <c r="Q119" s="145">
        <v>12.0</v>
      </c>
      <c r="R119" s="145">
        <v>0.0</v>
      </c>
      <c r="S119" s="145">
        <v>0.0</v>
      </c>
      <c r="T119" s="147" t="s">
        <v>37</v>
      </c>
      <c r="U119" s="164" t="s">
        <v>1212</v>
      </c>
      <c r="V119" s="161" t="s">
        <v>1213</v>
      </c>
      <c r="W119" s="230" t="s">
        <v>551</v>
      </c>
      <c r="X119" s="149" t="s">
        <v>1156</v>
      </c>
      <c r="Y119" s="147" t="s">
        <v>66</v>
      </c>
      <c r="Z119" s="147" t="s">
        <v>27</v>
      </c>
      <c r="AA119" s="147" t="s">
        <v>11</v>
      </c>
      <c r="AB119" s="147" t="s">
        <v>1214</v>
      </c>
      <c r="AC119" s="147">
        <v>2.0</v>
      </c>
      <c r="AD119" s="147">
        <v>0.0</v>
      </c>
      <c r="AE119" s="147">
        <v>0.0</v>
      </c>
      <c r="AF119" s="147">
        <v>1.0</v>
      </c>
    </row>
    <row r="120">
      <c r="A120" s="141">
        <v>366.0</v>
      </c>
      <c r="B120" s="142" t="s">
        <v>52</v>
      </c>
      <c r="C120" s="275" t="str">
        <f>HYPERLINK("https://azurlane.koumakan.jp/Concord","Concord")</f>
        <v>Concord</v>
      </c>
      <c r="D120" s="142" t="s">
        <v>36</v>
      </c>
      <c r="E120" s="165">
        <v>3378.0</v>
      </c>
      <c r="F120" s="145">
        <v>148.0</v>
      </c>
      <c r="G120" s="145">
        <v>218.0</v>
      </c>
      <c r="H120" s="145">
        <v>0.0</v>
      </c>
      <c r="I120" s="145">
        <v>301.0</v>
      </c>
      <c r="J120" s="145">
        <v>188.0</v>
      </c>
      <c r="K120" s="145">
        <v>120.0</v>
      </c>
      <c r="L120" s="145" t="s">
        <v>29</v>
      </c>
      <c r="M120" s="145">
        <v>35.0</v>
      </c>
      <c r="N120" s="145">
        <v>156.0</v>
      </c>
      <c r="O120" s="145">
        <v>67.0</v>
      </c>
      <c r="P120" s="145">
        <v>84.0</v>
      </c>
      <c r="Q120" s="145">
        <v>9.0</v>
      </c>
      <c r="R120" s="145">
        <v>0.0</v>
      </c>
      <c r="S120" s="145">
        <v>0.0</v>
      </c>
      <c r="T120" s="147" t="s">
        <v>37</v>
      </c>
      <c r="U120" s="164" t="s">
        <v>562</v>
      </c>
      <c r="V120" s="149" t="s">
        <v>551</v>
      </c>
      <c r="W120" s="149" t="s">
        <v>551</v>
      </c>
      <c r="X120" s="149" t="s">
        <v>879</v>
      </c>
      <c r="Y120" s="147" t="s">
        <v>52</v>
      </c>
      <c r="Z120" s="147" t="s">
        <v>557</v>
      </c>
      <c r="AA120" s="147" t="s">
        <v>11</v>
      </c>
      <c r="AB120" s="147" t="s">
        <v>1008</v>
      </c>
      <c r="AC120" s="147">
        <v>1.0</v>
      </c>
      <c r="AD120" s="147">
        <v>2.0</v>
      </c>
      <c r="AE120" s="147">
        <v>1.0</v>
      </c>
      <c r="AF120" s="147">
        <v>1.0</v>
      </c>
    </row>
    <row r="121">
      <c r="A121" s="141">
        <v>371.0</v>
      </c>
      <c r="B121" s="142" t="s">
        <v>52</v>
      </c>
      <c r="C121" s="275" t="str">
        <f>HYPERLINK("https://azurlane.koumakan.jp/Sirius","Sirius")</f>
        <v>Sirius</v>
      </c>
      <c r="D121" s="142" t="s">
        <v>32</v>
      </c>
      <c r="E121" s="165">
        <v>3831.0</v>
      </c>
      <c r="F121" s="145">
        <v>153.0</v>
      </c>
      <c r="G121" s="145">
        <v>163.0</v>
      </c>
      <c r="H121" s="145">
        <v>0.0</v>
      </c>
      <c r="I121" s="145">
        <v>393.0</v>
      </c>
      <c r="J121" s="145">
        <v>185.0</v>
      </c>
      <c r="K121" s="145">
        <v>114.0</v>
      </c>
      <c r="L121" s="145" t="s">
        <v>29</v>
      </c>
      <c r="M121" s="145">
        <v>32.0</v>
      </c>
      <c r="N121" s="145">
        <v>173.0</v>
      </c>
      <c r="O121" s="145">
        <v>70.0</v>
      </c>
      <c r="P121" s="145">
        <v>166.0</v>
      </c>
      <c r="Q121" s="145">
        <v>11.0</v>
      </c>
      <c r="R121" s="145">
        <v>0.0</v>
      </c>
      <c r="S121" s="145">
        <v>0.0</v>
      </c>
      <c r="T121" s="170" t="s">
        <v>104</v>
      </c>
      <c r="U121" s="148" t="s">
        <v>1009</v>
      </c>
      <c r="V121" s="164" t="s">
        <v>1010</v>
      </c>
      <c r="W121" s="149" t="s">
        <v>551</v>
      </c>
      <c r="X121" s="149" t="s">
        <v>1011</v>
      </c>
      <c r="Y121" s="147" t="s">
        <v>677</v>
      </c>
      <c r="Z121" s="147" t="s">
        <v>557</v>
      </c>
      <c r="AA121" s="147" t="s">
        <v>11</v>
      </c>
      <c r="AB121" s="147" t="s">
        <v>1012</v>
      </c>
      <c r="AC121" s="147">
        <v>1.0</v>
      </c>
      <c r="AD121" s="147">
        <v>2.0</v>
      </c>
      <c r="AE121" s="147">
        <v>1.0</v>
      </c>
      <c r="AF121" s="147">
        <v>1.0</v>
      </c>
    </row>
    <row r="122">
      <c r="A122" s="156">
        <v>372.0</v>
      </c>
      <c r="B122" s="149" t="s">
        <v>52</v>
      </c>
      <c r="C122" s="276" t="str">
        <f>HYPERLINK("https://azurlane.koumakan.jp/Curacoa","Curacoa")</f>
        <v>Curacoa</v>
      </c>
      <c r="D122" s="142" t="s">
        <v>36</v>
      </c>
      <c r="E122" s="145">
        <v>3050.0</v>
      </c>
      <c r="F122" s="145">
        <v>136.0</v>
      </c>
      <c r="G122" s="145">
        <v>0.0</v>
      </c>
      <c r="H122" s="145">
        <v>0.0</v>
      </c>
      <c r="I122" s="145">
        <v>157.0</v>
      </c>
      <c r="J122" s="145">
        <v>185.0</v>
      </c>
      <c r="K122" s="145">
        <v>109.0</v>
      </c>
      <c r="L122" s="145" t="s">
        <v>29</v>
      </c>
      <c r="M122" s="145">
        <v>29.0</v>
      </c>
      <c r="N122" s="145">
        <v>173.0</v>
      </c>
      <c r="O122" s="145">
        <v>24.0</v>
      </c>
      <c r="P122" s="145">
        <v>54.0</v>
      </c>
      <c r="Q122" s="145">
        <v>9.0</v>
      </c>
      <c r="R122" s="145">
        <v>0.0</v>
      </c>
      <c r="S122" s="145">
        <v>0.0</v>
      </c>
      <c r="T122" s="147" t="s">
        <v>104</v>
      </c>
      <c r="U122" s="164" t="s">
        <v>720</v>
      </c>
      <c r="V122" s="149" t="s">
        <v>551</v>
      </c>
      <c r="W122" s="149" t="s">
        <v>551</v>
      </c>
      <c r="X122" s="149" t="s">
        <v>1013</v>
      </c>
      <c r="Y122" s="147" t="s">
        <v>677</v>
      </c>
      <c r="Z122" s="147" t="s">
        <v>11</v>
      </c>
      <c r="AA122" s="147" t="s">
        <v>11</v>
      </c>
      <c r="AB122" s="147" t="s">
        <v>1014</v>
      </c>
      <c r="AC122" s="147">
        <v>2.0</v>
      </c>
      <c r="AD122" s="147">
        <v>0.0</v>
      </c>
      <c r="AE122" s="147">
        <v>0.0</v>
      </c>
      <c r="AF122" s="147">
        <v>2.0</v>
      </c>
    </row>
    <row r="123">
      <c r="A123" s="111">
        <v>372.1</v>
      </c>
      <c r="B123" s="112" t="s">
        <v>52</v>
      </c>
      <c r="C123" s="281" t="str">
        <f>HYPERLINK("https://azurlane.koumakan.jp/Curacoa#Retrofit","Curacoa (R)")</f>
        <v>Curacoa (R)</v>
      </c>
      <c r="D123" s="114" t="s">
        <v>28</v>
      </c>
      <c r="E123" s="108">
        <v>3290.0</v>
      </c>
      <c r="F123" s="108">
        <v>176.0</v>
      </c>
      <c r="G123" s="109">
        <v>0.0</v>
      </c>
      <c r="H123" s="109">
        <v>0.0</v>
      </c>
      <c r="I123" s="108">
        <v>202.0</v>
      </c>
      <c r="J123" s="108">
        <v>185.0</v>
      </c>
      <c r="K123" s="108">
        <v>109.0</v>
      </c>
      <c r="L123" s="109" t="s">
        <v>29</v>
      </c>
      <c r="M123" s="109">
        <v>29.0</v>
      </c>
      <c r="N123" s="108">
        <v>178.0</v>
      </c>
      <c r="O123" s="109">
        <v>24.0</v>
      </c>
      <c r="P123" s="108">
        <v>54.0</v>
      </c>
      <c r="Q123" s="109">
        <v>9.0</v>
      </c>
      <c r="R123" s="109">
        <v>0.0</v>
      </c>
      <c r="S123" s="109">
        <v>0.0</v>
      </c>
      <c r="T123" s="147" t="s">
        <v>104</v>
      </c>
      <c r="U123" s="164" t="s">
        <v>720</v>
      </c>
      <c r="V123" s="149" t="s">
        <v>551</v>
      </c>
      <c r="W123" s="148" t="s">
        <v>1015</v>
      </c>
      <c r="X123" s="149" t="s">
        <v>1013</v>
      </c>
      <c r="Y123" s="147" t="s">
        <v>677</v>
      </c>
      <c r="Z123" s="147" t="s">
        <v>11</v>
      </c>
      <c r="AA123" s="147" t="s">
        <v>11</v>
      </c>
      <c r="AB123" s="147" t="s">
        <v>1016</v>
      </c>
      <c r="AC123" s="216">
        <v>2.0</v>
      </c>
      <c r="AD123" s="216">
        <v>0.0</v>
      </c>
      <c r="AE123" s="216">
        <v>0.0</v>
      </c>
      <c r="AF123" s="216">
        <v>2.0</v>
      </c>
    </row>
    <row r="124">
      <c r="A124" s="156">
        <v>373.0</v>
      </c>
      <c r="B124" s="149" t="s">
        <v>52</v>
      </c>
      <c r="C124" s="276" t="str">
        <f>HYPERLINK("https://azurlane.koumakan.jp/Curlew","Curlew")</f>
        <v>Curlew</v>
      </c>
      <c r="D124" s="142" t="s">
        <v>36</v>
      </c>
      <c r="E124" s="145">
        <v>2854.0</v>
      </c>
      <c r="F124" s="145">
        <v>130.0</v>
      </c>
      <c r="G124" s="145">
        <v>0.0</v>
      </c>
      <c r="H124" s="145">
        <v>0.0</v>
      </c>
      <c r="I124" s="145">
        <v>182.0</v>
      </c>
      <c r="J124" s="145">
        <v>193.0</v>
      </c>
      <c r="K124" s="145">
        <v>109.0</v>
      </c>
      <c r="L124" s="145" t="s">
        <v>29</v>
      </c>
      <c r="M124" s="145">
        <v>29.0</v>
      </c>
      <c r="N124" s="145">
        <v>170.0</v>
      </c>
      <c r="O124" s="145">
        <v>45.0</v>
      </c>
      <c r="P124" s="145">
        <v>54.0</v>
      </c>
      <c r="Q124" s="145">
        <v>9.0</v>
      </c>
      <c r="R124" s="145">
        <v>0.0</v>
      </c>
      <c r="S124" s="145">
        <v>0.0</v>
      </c>
      <c r="T124" s="147" t="s">
        <v>104</v>
      </c>
      <c r="U124" s="164" t="s">
        <v>720</v>
      </c>
      <c r="V124" s="149" t="s">
        <v>551</v>
      </c>
      <c r="W124" s="149" t="s">
        <v>551</v>
      </c>
      <c r="X124" s="149" t="s">
        <v>1013</v>
      </c>
      <c r="Y124" s="147" t="s">
        <v>677</v>
      </c>
      <c r="Z124" s="147" t="s">
        <v>11</v>
      </c>
      <c r="AA124" s="147" t="s">
        <v>11</v>
      </c>
      <c r="AB124" s="147" t="s">
        <v>1014</v>
      </c>
      <c r="AC124" s="147">
        <v>2.0</v>
      </c>
      <c r="AD124" s="147">
        <v>0.0</v>
      </c>
      <c r="AE124" s="147">
        <v>0.0</v>
      </c>
      <c r="AF124" s="147">
        <v>2.0</v>
      </c>
    </row>
    <row r="125">
      <c r="A125" s="115">
        <v>373.1</v>
      </c>
      <c r="B125" s="112" t="s">
        <v>52</v>
      </c>
      <c r="C125" s="282" t="str">
        <f>HYPERLINK("https://azurlane.koumakan.jp/Curlew#Retrofit","Curlew (R)")</f>
        <v>Curlew (R)</v>
      </c>
      <c r="D125" s="114" t="s">
        <v>28</v>
      </c>
      <c r="E125" s="117">
        <v>3094.0</v>
      </c>
      <c r="F125" s="117">
        <v>170.0</v>
      </c>
      <c r="G125" s="118">
        <v>0.0</v>
      </c>
      <c r="H125" s="118">
        <v>0.0</v>
      </c>
      <c r="I125" s="117">
        <v>227.0</v>
      </c>
      <c r="J125" s="117">
        <v>193.0</v>
      </c>
      <c r="K125" s="117">
        <v>109.0</v>
      </c>
      <c r="L125" s="118" t="s">
        <v>29</v>
      </c>
      <c r="M125" s="118">
        <v>29.0</v>
      </c>
      <c r="N125" s="117">
        <v>175.0</v>
      </c>
      <c r="O125" s="118">
        <v>45.0</v>
      </c>
      <c r="P125" s="117">
        <v>54.0</v>
      </c>
      <c r="Q125" s="118">
        <v>9.0</v>
      </c>
      <c r="R125" s="118">
        <v>0.0</v>
      </c>
      <c r="S125" s="118">
        <v>0.0</v>
      </c>
      <c r="T125" s="147" t="s">
        <v>104</v>
      </c>
      <c r="U125" s="164" t="s">
        <v>720</v>
      </c>
      <c r="V125" s="149" t="s">
        <v>551</v>
      </c>
      <c r="W125" s="148" t="s">
        <v>577</v>
      </c>
      <c r="X125" s="149" t="s">
        <v>1013</v>
      </c>
      <c r="Y125" s="147" t="s">
        <v>677</v>
      </c>
      <c r="Z125" s="147" t="s">
        <v>11</v>
      </c>
      <c r="AA125" s="147" t="s">
        <v>11</v>
      </c>
      <c r="AB125" s="147" t="s">
        <v>1017</v>
      </c>
      <c r="AC125" s="217">
        <v>2.0</v>
      </c>
      <c r="AD125" s="217">
        <v>0.0</v>
      </c>
      <c r="AE125" s="217">
        <v>0.0</v>
      </c>
      <c r="AF125" s="217">
        <v>2.0</v>
      </c>
    </row>
    <row r="126">
      <c r="A126" s="156">
        <v>382.0</v>
      </c>
      <c r="B126" s="149" t="s">
        <v>66</v>
      </c>
      <c r="C126" s="276" t="str">
        <f>HYPERLINK("https://azurlane.koumakan.jp/Suzuya","Suzuya")</f>
        <v>Suzuya</v>
      </c>
      <c r="D126" s="142" t="s">
        <v>28</v>
      </c>
      <c r="E126" s="165">
        <v>4273.0</v>
      </c>
      <c r="F126" s="145">
        <v>240.0</v>
      </c>
      <c r="G126" s="145">
        <v>215.0</v>
      </c>
      <c r="H126" s="145">
        <v>0.0</v>
      </c>
      <c r="I126" s="145">
        <v>213.0</v>
      </c>
      <c r="J126" s="145">
        <v>182.0</v>
      </c>
      <c r="K126" s="145">
        <v>83.0</v>
      </c>
      <c r="L126" s="145" t="s">
        <v>71</v>
      </c>
      <c r="M126" s="145">
        <v>28.0</v>
      </c>
      <c r="N126" s="145">
        <v>132.0</v>
      </c>
      <c r="O126" s="145">
        <v>15.0</v>
      </c>
      <c r="P126" s="145">
        <v>0.0</v>
      </c>
      <c r="Q126" s="145">
        <v>11.0</v>
      </c>
      <c r="R126" s="145">
        <v>0.0</v>
      </c>
      <c r="S126" s="145">
        <v>0.0</v>
      </c>
      <c r="T126" s="147" t="s">
        <v>143</v>
      </c>
      <c r="U126" s="164" t="s">
        <v>1325</v>
      </c>
      <c r="V126" s="161" t="s">
        <v>949</v>
      </c>
      <c r="W126" s="149" t="s">
        <v>551</v>
      </c>
      <c r="X126" s="149" t="s">
        <v>1216</v>
      </c>
      <c r="Y126" s="147" t="s">
        <v>1217</v>
      </c>
      <c r="Z126" s="147" t="s">
        <v>557</v>
      </c>
      <c r="AA126" s="147" t="s">
        <v>11</v>
      </c>
      <c r="AB126" s="147" t="s">
        <v>1218</v>
      </c>
      <c r="AC126" s="147">
        <v>1.0</v>
      </c>
      <c r="AD126" s="147">
        <v>2.0</v>
      </c>
      <c r="AE126" s="147">
        <v>1.0</v>
      </c>
      <c r="AF126" s="147">
        <v>1.0</v>
      </c>
    </row>
    <row r="127">
      <c r="A127" s="156">
        <v>390.0</v>
      </c>
      <c r="B127" s="159" t="s">
        <v>52</v>
      </c>
      <c r="C127" s="283" t="str">
        <f>HYPERLINK("https://azurlane.koumakan.jp/Li%27l_Sandy","Lena")</f>
        <v>Lena</v>
      </c>
      <c r="D127" s="159" t="s">
        <v>28</v>
      </c>
      <c r="E127" s="144">
        <v>3321.0</v>
      </c>
      <c r="F127" s="144">
        <v>169.0</v>
      </c>
      <c r="G127" s="144">
        <v>0.0</v>
      </c>
      <c r="H127" s="144">
        <v>0.0</v>
      </c>
      <c r="I127" s="144">
        <v>323.0</v>
      </c>
      <c r="J127" s="144">
        <v>188.0</v>
      </c>
      <c r="K127" s="144">
        <v>107.0</v>
      </c>
      <c r="L127" s="144" t="s">
        <v>29</v>
      </c>
      <c r="M127" s="144">
        <v>32.0</v>
      </c>
      <c r="N127" s="145">
        <v>177.0</v>
      </c>
      <c r="O127" s="145">
        <v>33.0</v>
      </c>
      <c r="P127" s="144">
        <v>109.0</v>
      </c>
      <c r="Q127" s="144">
        <v>10.0</v>
      </c>
      <c r="R127" s="144">
        <v>0.0</v>
      </c>
      <c r="S127" s="144">
        <v>0.0</v>
      </c>
      <c r="T127" s="147" t="s">
        <v>37</v>
      </c>
      <c r="U127" s="148" t="s">
        <v>1018</v>
      </c>
      <c r="V127" s="161" t="s">
        <v>1019</v>
      </c>
      <c r="W127" s="159" t="s">
        <v>551</v>
      </c>
      <c r="X127" s="149" t="s">
        <v>882</v>
      </c>
      <c r="Y127" s="147" t="s">
        <v>52</v>
      </c>
      <c r="Z127" s="147" t="s">
        <v>27</v>
      </c>
      <c r="AA127" s="147" t="s">
        <v>11</v>
      </c>
      <c r="AB127" s="147" t="s">
        <v>883</v>
      </c>
      <c r="AC127" s="147">
        <v>2.0</v>
      </c>
      <c r="AD127" s="147">
        <v>0.0</v>
      </c>
      <c r="AE127" s="147">
        <v>0.0</v>
      </c>
      <c r="AF127" s="147">
        <v>1.0</v>
      </c>
    </row>
    <row r="128">
      <c r="A128" s="156">
        <v>391.0</v>
      </c>
      <c r="B128" s="159" t="s">
        <v>52</v>
      </c>
      <c r="C128" s="283" t="str">
        <f>HYPERLINK("https://azurlane.koumakan.jp/Clevelad","Clevelad")</f>
        <v>Clevelad</v>
      </c>
      <c r="D128" s="159" t="s">
        <v>28</v>
      </c>
      <c r="E128" s="144">
        <v>3684.0</v>
      </c>
      <c r="F128" s="144">
        <v>164.0</v>
      </c>
      <c r="G128" s="144">
        <v>0.0</v>
      </c>
      <c r="H128" s="144">
        <v>0.0</v>
      </c>
      <c r="I128" s="144">
        <v>330.0</v>
      </c>
      <c r="J128" s="144">
        <v>183.0</v>
      </c>
      <c r="K128" s="144">
        <v>111.0</v>
      </c>
      <c r="L128" s="144" t="s">
        <v>29</v>
      </c>
      <c r="M128" s="144">
        <v>32.0</v>
      </c>
      <c r="N128" s="145">
        <v>163.0</v>
      </c>
      <c r="O128" s="145">
        <v>71.0</v>
      </c>
      <c r="P128" s="144">
        <v>102.0</v>
      </c>
      <c r="Q128" s="144">
        <v>10.0</v>
      </c>
      <c r="R128" s="144">
        <v>0.0</v>
      </c>
      <c r="S128" s="144">
        <v>0.0</v>
      </c>
      <c r="T128" s="147" t="s">
        <v>37</v>
      </c>
      <c r="U128" s="148" t="s">
        <v>1326</v>
      </c>
      <c r="V128" s="161" t="s">
        <v>1327</v>
      </c>
      <c r="W128" s="159" t="s">
        <v>551</v>
      </c>
      <c r="X128" s="149" t="s">
        <v>900</v>
      </c>
      <c r="Y128" s="147" t="s">
        <v>52</v>
      </c>
      <c r="Z128" s="147" t="s">
        <v>27</v>
      </c>
      <c r="AA128" s="147" t="s">
        <v>11</v>
      </c>
      <c r="AB128" s="147" t="s">
        <v>1022</v>
      </c>
      <c r="AC128" s="147">
        <v>2.0</v>
      </c>
      <c r="AD128" s="147">
        <v>0.0</v>
      </c>
      <c r="AE128" s="147">
        <v>0.0</v>
      </c>
      <c r="AF128" s="147">
        <v>1.0</v>
      </c>
    </row>
    <row r="129">
      <c r="A129" s="156">
        <v>392.0</v>
      </c>
      <c r="B129" s="159" t="s">
        <v>52</v>
      </c>
      <c r="C129" s="283" t="str">
        <f>HYPERLINK("https://azurlane.koumakan.jp/Li%27l_Sandy","Li'l Sandy")</f>
        <v>Li'l Sandy</v>
      </c>
      <c r="D129" s="159" t="s">
        <v>28</v>
      </c>
      <c r="E129" s="144">
        <v>3301.0</v>
      </c>
      <c r="F129" s="144">
        <v>132.0</v>
      </c>
      <c r="G129" s="144">
        <v>163.0</v>
      </c>
      <c r="H129" s="144">
        <v>0.0</v>
      </c>
      <c r="I129" s="144">
        <v>443.0</v>
      </c>
      <c r="J129" s="144">
        <v>185.0</v>
      </c>
      <c r="K129" s="144">
        <v>113.0</v>
      </c>
      <c r="L129" s="144" t="s">
        <v>29</v>
      </c>
      <c r="M129" s="144">
        <v>32.0</v>
      </c>
      <c r="N129" s="145">
        <v>173.0</v>
      </c>
      <c r="O129" s="145">
        <v>85.0</v>
      </c>
      <c r="P129" s="144">
        <v>195.0</v>
      </c>
      <c r="Q129" s="144">
        <v>10.0</v>
      </c>
      <c r="R129" s="144">
        <v>0.0</v>
      </c>
      <c r="S129" s="144">
        <v>0.0</v>
      </c>
      <c r="T129" s="170" t="s">
        <v>37</v>
      </c>
      <c r="U129" s="148" t="s">
        <v>1023</v>
      </c>
      <c r="V129" s="164" t="s">
        <v>1024</v>
      </c>
      <c r="W129" s="159" t="s">
        <v>551</v>
      </c>
      <c r="X129" s="149" t="s">
        <v>890</v>
      </c>
      <c r="Y129" s="147" t="s">
        <v>677</v>
      </c>
      <c r="Z129" s="147" t="s">
        <v>557</v>
      </c>
      <c r="AA129" s="147" t="s">
        <v>11</v>
      </c>
      <c r="AB129" s="147" t="s">
        <v>1025</v>
      </c>
      <c r="AC129" s="147">
        <v>1.0</v>
      </c>
      <c r="AD129" s="147">
        <v>2.0</v>
      </c>
      <c r="AE129" s="147">
        <v>1.0</v>
      </c>
      <c r="AF129" s="147">
        <v>1.0</v>
      </c>
    </row>
    <row r="130">
      <c r="A130" s="182">
        <v>393.0</v>
      </c>
      <c r="B130" s="196" t="s">
        <v>52</v>
      </c>
      <c r="C130" s="284" t="str">
        <f>HYPERLINK("https://azurlane.koumakan.jp/Swiftsure","Swiftsure")</f>
        <v>Swiftsure</v>
      </c>
      <c r="D130" s="191" t="s">
        <v>32</v>
      </c>
      <c r="E130" s="191">
        <v>3884.0</v>
      </c>
      <c r="F130" s="191">
        <v>166.0</v>
      </c>
      <c r="G130" s="191">
        <v>369.0</v>
      </c>
      <c r="H130" s="191">
        <v>0.0</v>
      </c>
      <c r="I130" s="191">
        <v>310.0</v>
      </c>
      <c r="J130" s="191">
        <v>193.0</v>
      </c>
      <c r="K130" s="191">
        <v>113.0</v>
      </c>
      <c r="L130" s="191" t="s">
        <v>29</v>
      </c>
      <c r="M130" s="191">
        <v>32.0</v>
      </c>
      <c r="N130" s="170">
        <v>168.0</v>
      </c>
      <c r="O130" s="170">
        <v>44.0</v>
      </c>
      <c r="P130" s="191">
        <v>150.0</v>
      </c>
      <c r="Q130" s="191">
        <v>11.0</v>
      </c>
      <c r="R130" s="191">
        <v>0.0</v>
      </c>
      <c r="S130" s="191">
        <v>0.0</v>
      </c>
      <c r="T130" s="160" t="s">
        <v>104</v>
      </c>
      <c r="U130" s="161" t="s">
        <v>1026</v>
      </c>
      <c r="V130" s="164" t="s">
        <v>1027</v>
      </c>
      <c r="W130" s="159" t="s">
        <v>551</v>
      </c>
      <c r="X130" s="149" t="s">
        <v>1028</v>
      </c>
      <c r="Y130" s="147" t="s">
        <v>52</v>
      </c>
      <c r="Z130" s="147" t="s">
        <v>557</v>
      </c>
      <c r="AA130" s="147" t="s">
        <v>11</v>
      </c>
      <c r="AB130" s="147" t="s">
        <v>1029</v>
      </c>
      <c r="AC130" s="147">
        <v>1.0</v>
      </c>
      <c r="AD130" s="147">
        <v>2.0</v>
      </c>
      <c r="AE130" s="147">
        <v>1.0</v>
      </c>
      <c r="AF130" s="147">
        <v>1.0</v>
      </c>
    </row>
    <row r="131">
      <c r="A131" s="182">
        <v>404.0</v>
      </c>
      <c r="B131" s="183" t="s">
        <v>52</v>
      </c>
      <c r="C131" s="264" t="str">
        <f>HYPERLINK("https://azurlane.koumakan.jp/San_Juan","San Juan")</f>
        <v>San Juan</v>
      </c>
      <c r="D131" s="170" t="s">
        <v>36</v>
      </c>
      <c r="E131" s="170">
        <v>3598.0</v>
      </c>
      <c r="F131" s="170">
        <v>131.0</v>
      </c>
      <c r="G131" s="170">
        <v>159.0</v>
      </c>
      <c r="H131" s="170">
        <v>0.0</v>
      </c>
      <c r="I131" s="170">
        <v>438.0</v>
      </c>
      <c r="J131" s="170">
        <v>181.0</v>
      </c>
      <c r="K131" s="170">
        <v>112.0</v>
      </c>
      <c r="L131" s="170" t="s">
        <v>29</v>
      </c>
      <c r="M131" s="170">
        <v>32.0</v>
      </c>
      <c r="N131" s="170">
        <v>173.0</v>
      </c>
      <c r="O131" s="170">
        <v>77.0</v>
      </c>
      <c r="P131" s="170">
        <v>188.0</v>
      </c>
      <c r="Q131" s="170">
        <v>9.0</v>
      </c>
      <c r="R131" s="170">
        <v>0.0</v>
      </c>
      <c r="S131" s="170">
        <v>0.0</v>
      </c>
      <c r="T131" s="147" t="s">
        <v>37</v>
      </c>
      <c r="U131" s="172" t="s">
        <v>1030</v>
      </c>
      <c r="V131" s="153" t="s">
        <v>551</v>
      </c>
      <c r="W131" s="195" t="s">
        <v>551</v>
      </c>
      <c r="X131" s="149" t="s">
        <v>890</v>
      </c>
      <c r="Y131" s="147" t="s">
        <v>677</v>
      </c>
      <c r="Z131" s="147" t="s">
        <v>557</v>
      </c>
      <c r="AA131" s="147" t="s">
        <v>11</v>
      </c>
      <c r="AB131" s="228" t="s">
        <v>891</v>
      </c>
      <c r="AC131" s="153">
        <v>1.0</v>
      </c>
      <c r="AD131" s="153">
        <v>2.0</v>
      </c>
      <c r="AE131" s="153">
        <v>1.0</v>
      </c>
      <c r="AF131" s="153">
        <v>1.0</v>
      </c>
    </row>
    <row r="132">
      <c r="A132" s="182">
        <v>405.0</v>
      </c>
      <c r="B132" s="196" t="s">
        <v>52</v>
      </c>
      <c r="C132" s="284" t="str">
        <f>HYPERLINK("https://azurlane.koumakan.jp/Birmingham","Birmingham")</f>
        <v>Birmingham</v>
      </c>
      <c r="D132" s="191" t="s">
        <v>28</v>
      </c>
      <c r="E132" s="191">
        <v>4285.0</v>
      </c>
      <c r="F132" s="191">
        <v>170.0</v>
      </c>
      <c r="G132" s="191">
        <v>0.0</v>
      </c>
      <c r="H132" s="191">
        <v>0.0</v>
      </c>
      <c r="I132" s="191">
        <v>334.0</v>
      </c>
      <c r="J132" s="191">
        <v>188.0</v>
      </c>
      <c r="K132" s="191">
        <v>111.0</v>
      </c>
      <c r="L132" s="191" t="s">
        <v>29</v>
      </c>
      <c r="M132" s="191">
        <v>32.0</v>
      </c>
      <c r="N132" s="170">
        <v>174.0</v>
      </c>
      <c r="O132" s="170">
        <v>48.0</v>
      </c>
      <c r="P132" s="191">
        <v>100.0</v>
      </c>
      <c r="Q132" s="191">
        <v>10.0</v>
      </c>
      <c r="R132" s="191">
        <v>0.0</v>
      </c>
      <c r="S132" s="191">
        <v>0.0</v>
      </c>
      <c r="T132" s="147" t="s">
        <v>37</v>
      </c>
      <c r="U132" s="173" t="s">
        <v>1031</v>
      </c>
      <c r="V132" s="285" t="s">
        <v>1032</v>
      </c>
      <c r="W132" s="195" t="s">
        <v>551</v>
      </c>
      <c r="X132" s="153" t="s">
        <v>900</v>
      </c>
      <c r="Y132" s="147" t="s">
        <v>52</v>
      </c>
      <c r="Z132" s="147" t="s">
        <v>27</v>
      </c>
      <c r="AA132" s="147" t="s">
        <v>11</v>
      </c>
      <c r="AB132" s="228" t="s">
        <v>1033</v>
      </c>
      <c r="AC132" s="153">
        <v>2.0</v>
      </c>
      <c r="AD132" s="153">
        <v>0.0</v>
      </c>
      <c r="AE132" s="153">
        <v>0.0</v>
      </c>
      <c r="AF132" s="153">
        <v>1.0</v>
      </c>
    </row>
    <row r="133">
      <c r="A133" s="182">
        <v>408.0</v>
      </c>
      <c r="B133" s="183" t="s">
        <v>52</v>
      </c>
      <c r="C133" s="264" t="str">
        <f>HYPERLINK("https://azurlane.koumakan.jp/Black_Prince","Black Prince")</f>
        <v>Black Prince</v>
      </c>
      <c r="D133" s="170" t="s">
        <v>28</v>
      </c>
      <c r="E133" s="170">
        <v>3691.0</v>
      </c>
      <c r="F133" s="170">
        <v>144.0</v>
      </c>
      <c r="G133" s="170">
        <v>155.0</v>
      </c>
      <c r="H133" s="170">
        <v>0.0</v>
      </c>
      <c r="I133" s="170">
        <v>385.0</v>
      </c>
      <c r="J133" s="170">
        <v>182.0</v>
      </c>
      <c r="K133" s="170">
        <v>115.0</v>
      </c>
      <c r="L133" s="170" t="s">
        <v>29</v>
      </c>
      <c r="M133" s="170">
        <v>32.0</v>
      </c>
      <c r="N133" s="170">
        <v>173.0</v>
      </c>
      <c r="O133" s="170">
        <v>58.0</v>
      </c>
      <c r="P133" s="170">
        <v>150.0</v>
      </c>
      <c r="Q133" s="170">
        <v>10.0</v>
      </c>
      <c r="R133" s="170">
        <v>0.0</v>
      </c>
      <c r="S133" s="170">
        <v>0.0</v>
      </c>
      <c r="T133" s="147" t="s">
        <v>104</v>
      </c>
      <c r="U133" s="244" t="s">
        <v>1034</v>
      </c>
      <c r="V133" s="190" t="s">
        <v>587</v>
      </c>
      <c r="W133" s="159" t="s">
        <v>551</v>
      </c>
      <c r="X133" s="196" t="s">
        <v>912</v>
      </c>
      <c r="Y133" s="147" t="s">
        <v>677</v>
      </c>
      <c r="Z133" s="147" t="s">
        <v>557</v>
      </c>
      <c r="AA133" s="147" t="s">
        <v>11</v>
      </c>
      <c r="AB133" s="160" t="s">
        <v>1035</v>
      </c>
      <c r="AC133" s="217">
        <v>1.0</v>
      </c>
      <c r="AD133" s="217">
        <v>2.0</v>
      </c>
      <c r="AE133" s="217">
        <v>1.0</v>
      </c>
      <c r="AF133" s="217">
        <v>1.0</v>
      </c>
    </row>
    <row r="134">
      <c r="A134" s="182">
        <v>413.0</v>
      </c>
      <c r="B134" s="183" t="s">
        <v>66</v>
      </c>
      <c r="C134" s="284" t="str">
        <f>HYPERLINK("https://azurlane.koumakan.jp/Zara","Zara")</f>
        <v>Zara</v>
      </c>
      <c r="D134" s="170" t="s">
        <v>32</v>
      </c>
      <c r="E134" s="170">
        <v>5056.0</v>
      </c>
      <c r="F134" s="170">
        <v>256.0</v>
      </c>
      <c r="G134" s="170">
        <v>0.0</v>
      </c>
      <c r="H134" s="170">
        <v>0.0</v>
      </c>
      <c r="I134" s="170">
        <v>234.0</v>
      </c>
      <c r="J134" s="170">
        <v>185.0</v>
      </c>
      <c r="K134" s="170">
        <v>59.0</v>
      </c>
      <c r="L134" s="170" t="s">
        <v>71</v>
      </c>
      <c r="M134" s="170">
        <v>26.0</v>
      </c>
      <c r="N134" s="170">
        <v>121.0</v>
      </c>
      <c r="O134" s="170">
        <v>75.0</v>
      </c>
      <c r="P134" s="170">
        <v>0.0</v>
      </c>
      <c r="Q134" s="170">
        <v>12.0</v>
      </c>
      <c r="R134" s="170">
        <v>0.0</v>
      </c>
      <c r="S134" s="170">
        <v>0.0</v>
      </c>
      <c r="T134" s="170" t="s">
        <v>269</v>
      </c>
      <c r="U134" s="161" t="s">
        <v>1219</v>
      </c>
      <c r="V134" s="164" t="s">
        <v>1220</v>
      </c>
      <c r="W134" s="159" t="s">
        <v>551</v>
      </c>
      <c r="X134" s="159" t="s">
        <v>1221</v>
      </c>
      <c r="Y134" s="147" t="s">
        <v>66</v>
      </c>
      <c r="Z134" s="147" t="s">
        <v>27</v>
      </c>
      <c r="AA134" s="147" t="s">
        <v>11</v>
      </c>
      <c r="AB134" s="160" t="s">
        <v>1222</v>
      </c>
      <c r="AC134" s="147">
        <v>2.0</v>
      </c>
      <c r="AD134" s="147">
        <v>0.0</v>
      </c>
      <c r="AE134" s="147">
        <v>0.0</v>
      </c>
      <c r="AF134" s="147">
        <v>1.0</v>
      </c>
    </row>
    <row r="135">
      <c r="A135" s="182">
        <v>414.0</v>
      </c>
      <c r="B135" s="183" t="s">
        <v>66</v>
      </c>
      <c r="C135" s="284" t="str">
        <f>HYPERLINK("https://azurlane.koumakan.jp/Trento","Trento")</f>
        <v>Trento</v>
      </c>
      <c r="D135" s="170" t="s">
        <v>36</v>
      </c>
      <c r="E135" s="170">
        <v>3626.0</v>
      </c>
      <c r="F135" s="170">
        <v>235.0</v>
      </c>
      <c r="G135" s="170">
        <v>186.0</v>
      </c>
      <c r="H135" s="170">
        <v>0.0</v>
      </c>
      <c r="I135" s="170">
        <v>190.0</v>
      </c>
      <c r="J135" s="170">
        <v>162.0</v>
      </c>
      <c r="K135" s="170">
        <v>73.0</v>
      </c>
      <c r="L135" s="170" t="s">
        <v>29</v>
      </c>
      <c r="M135" s="170">
        <v>28.0</v>
      </c>
      <c r="N135" s="170">
        <v>121.0</v>
      </c>
      <c r="O135" s="170">
        <v>42.0</v>
      </c>
      <c r="P135" s="170">
        <v>0.0</v>
      </c>
      <c r="Q135" s="170">
        <v>10.0</v>
      </c>
      <c r="R135" s="170">
        <v>0.0</v>
      </c>
      <c r="S135" s="170">
        <v>0.0</v>
      </c>
      <c r="T135" s="170" t="s">
        <v>269</v>
      </c>
      <c r="U135" s="164" t="s">
        <v>575</v>
      </c>
      <c r="V135" s="159" t="s">
        <v>551</v>
      </c>
      <c r="W135" s="159" t="s">
        <v>551</v>
      </c>
      <c r="X135" s="149" t="s">
        <v>1223</v>
      </c>
      <c r="Y135" s="147" t="s">
        <v>66</v>
      </c>
      <c r="Z135" s="147" t="s">
        <v>557</v>
      </c>
      <c r="AA135" s="147" t="s">
        <v>11</v>
      </c>
      <c r="AB135" s="160" t="s">
        <v>1189</v>
      </c>
      <c r="AC135" s="147">
        <v>1.0</v>
      </c>
      <c r="AD135" s="147">
        <v>2.0</v>
      </c>
      <c r="AE135" s="147">
        <v>1.0</v>
      </c>
      <c r="AF135" s="147">
        <v>1.0</v>
      </c>
    </row>
    <row r="136">
      <c r="A136" s="182">
        <v>420.0</v>
      </c>
      <c r="B136" s="191" t="s">
        <v>52</v>
      </c>
      <c r="C136" s="286" t="s">
        <v>277</v>
      </c>
      <c r="D136" s="191" t="s">
        <v>28</v>
      </c>
      <c r="E136" s="191">
        <v>3925.0</v>
      </c>
      <c r="F136" s="191">
        <v>164.0</v>
      </c>
      <c r="G136" s="191">
        <v>0.0</v>
      </c>
      <c r="H136" s="191">
        <v>0.0</v>
      </c>
      <c r="I136" s="191">
        <v>330.0</v>
      </c>
      <c r="J136" s="191">
        <v>191.0</v>
      </c>
      <c r="K136" s="191">
        <v>113.0</v>
      </c>
      <c r="L136" s="191" t="s">
        <v>29</v>
      </c>
      <c r="M136" s="191">
        <v>32.0</v>
      </c>
      <c r="N136" s="170">
        <v>168.0</v>
      </c>
      <c r="O136" s="170">
        <v>71.0</v>
      </c>
      <c r="P136" s="191">
        <v>102.0</v>
      </c>
      <c r="Q136" s="191">
        <v>10.0</v>
      </c>
      <c r="R136" s="191">
        <v>0.0</v>
      </c>
      <c r="S136" s="191">
        <v>0.0</v>
      </c>
      <c r="T136" s="170" t="s">
        <v>37</v>
      </c>
      <c r="U136" s="193" t="s">
        <v>1036</v>
      </c>
      <c r="V136" s="181" t="s">
        <v>1037</v>
      </c>
      <c r="W136" s="153" t="s">
        <v>551</v>
      </c>
      <c r="X136" s="195" t="s">
        <v>1038</v>
      </c>
      <c r="Y136" s="153" t="s">
        <v>52</v>
      </c>
      <c r="Z136" s="153" t="s">
        <v>27</v>
      </c>
      <c r="AA136" s="153" t="s">
        <v>11</v>
      </c>
      <c r="AB136" s="153" t="s">
        <v>901</v>
      </c>
      <c r="AC136" s="153">
        <v>2.0</v>
      </c>
      <c r="AD136" s="153">
        <v>0.0</v>
      </c>
      <c r="AE136" s="153">
        <v>0.0</v>
      </c>
      <c r="AF136" s="153">
        <v>1.0</v>
      </c>
    </row>
    <row r="137">
      <c r="A137" s="182">
        <v>421.0</v>
      </c>
      <c r="B137" s="191" t="s">
        <v>52</v>
      </c>
      <c r="C137" s="287" t="s">
        <v>278</v>
      </c>
      <c r="D137" s="191" t="s">
        <v>28</v>
      </c>
      <c r="E137" s="191">
        <v>3641.0</v>
      </c>
      <c r="F137" s="191">
        <v>155.0</v>
      </c>
      <c r="G137" s="191">
        <v>299.0</v>
      </c>
      <c r="H137" s="191">
        <v>0.0</v>
      </c>
      <c r="I137" s="191">
        <v>358.0</v>
      </c>
      <c r="J137" s="191">
        <v>185.0</v>
      </c>
      <c r="K137" s="191">
        <v>119.0</v>
      </c>
      <c r="L137" s="191" t="s">
        <v>29</v>
      </c>
      <c r="M137" s="191">
        <v>32.0</v>
      </c>
      <c r="N137" s="170">
        <v>164.0</v>
      </c>
      <c r="O137" s="170">
        <v>78.0</v>
      </c>
      <c r="P137" s="191">
        <v>89.0</v>
      </c>
      <c r="Q137" s="191">
        <v>10.0</v>
      </c>
      <c r="R137" s="191">
        <v>0.0</v>
      </c>
      <c r="S137" s="191">
        <v>0.0</v>
      </c>
      <c r="T137" s="191" t="s">
        <v>104</v>
      </c>
      <c r="U137" s="193" t="s">
        <v>1039</v>
      </c>
      <c r="V137" s="181" t="s">
        <v>1040</v>
      </c>
      <c r="W137" s="170" t="s">
        <v>551</v>
      </c>
      <c r="X137" s="170" t="s">
        <v>1041</v>
      </c>
      <c r="Y137" s="170" t="s">
        <v>52</v>
      </c>
      <c r="Z137" s="170" t="s">
        <v>557</v>
      </c>
      <c r="AA137" s="170" t="s">
        <v>11</v>
      </c>
      <c r="AB137" s="170" t="s">
        <v>918</v>
      </c>
      <c r="AC137" s="170">
        <v>1.0</v>
      </c>
      <c r="AD137" s="170">
        <v>2.0</v>
      </c>
      <c r="AE137" s="170">
        <v>1.0</v>
      </c>
      <c r="AF137" s="170">
        <v>1.0</v>
      </c>
    </row>
    <row r="138">
      <c r="A138" s="182">
        <v>422.0</v>
      </c>
      <c r="B138" s="196" t="s">
        <v>66</v>
      </c>
      <c r="C138" s="284" t="s">
        <v>280</v>
      </c>
      <c r="D138" s="191" t="s">
        <v>28</v>
      </c>
      <c r="E138" s="191">
        <v>4956.0</v>
      </c>
      <c r="F138" s="191">
        <v>254.0</v>
      </c>
      <c r="G138" s="191">
        <v>188.0</v>
      </c>
      <c r="H138" s="191">
        <v>0.0</v>
      </c>
      <c r="I138" s="191">
        <v>193.0</v>
      </c>
      <c r="J138" s="191">
        <v>178.0</v>
      </c>
      <c r="K138" s="191">
        <v>64.0</v>
      </c>
      <c r="L138" s="191" t="s">
        <v>71</v>
      </c>
      <c r="M138" s="191">
        <v>25.0</v>
      </c>
      <c r="N138" s="170">
        <v>131.0</v>
      </c>
      <c r="O138" s="170">
        <v>66.0</v>
      </c>
      <c r="P138" s="191">
        <v>0.0</v>
      </c>
      <c r="Q138" s="191">
        <v>11.0</v>
      </c>
      <c r="R138" s="191">
        <v>0.0</v>
      </c>
      <c r="S138" s="191">
        <v>0.0</v>
      </c>
      <c r="T138" s="191" t="s">
        <v>193</v>
      </c>
      <c r="U138" s="173" t="s">
        <v>1224</v>
      </c>
      <c r="V138" s="181" t="s">
        <v>1225</v>
      </c>
      <c r="W138" s="153" t="s">
        <v>551</v>
      </c>
      <c r="X138" s="153" t="s">
        <v>1226</v>
      </c>
      <c r="Y138" s="153" t="s">
        <v>66</v>
      </c>
      <c r="Z138" s="153" t="s">
        <v>557</v>
      </c>
      <c r="AA138" s="153" t="s">
        <v>11</v>
      </c>
      <c r="AB138" s="153" t="s">
        <v>1207</v>
      </c>
      <c r="AC138" s="153">
        <v>1.0</v>
      </c>
      <c r="AD138" s="153">
        <v>2.0</v>
      </c>
      <c r="AE138" s="153">
        <v>1.0</v>
      </c>
      <c r="AF138" s="153">
        <v>1.0</v>
      </c>
    </row>
    <row r="139">
      <c r="A139" s="182">
        <v>423.0</v>
      </c>
      <c r="B139" s="196" t="s">
        <v>52</v>
      </c>
      <c r="C139" s="284" t="str">
        <f>HYPERLINK("https://azurlane.koumakan.jp/Glasgow","Glasglow")</f>
        <v>Glasglow</v>
      </c>
      <c r="D139" s="191" t="s">
        <v>36</v>
      </c>
      <c r="E139" s="191">
        <v>3773.0</v>
      </c>
      <c r="F139" s="191">
        <v>153.0</v>
      </c>
      <c r="G139" s="191">
        <v>276.0</v>
      </c>
      <c r="H139" s="191">
        <v>0.0</v>
      </c>
      <c r="I139" s="191">
        <v>351.0</v>
      </c>
      <c r="J139" s="191">
        <v>174.0</v>
      </c>
      <c r="K139" s="191">
        <v>119.0</v>
      </c>
      <c r="L139" s="191" t="s">
        <v>29</v>
      </c>
      <c r="M139" s="191">
        <v>32.0</v>
      </c>
      <c r="N139" s="170">
        <v>161.0</v>
      </c>
      <c r="O139" s="170">
        <v>81.0</v>
      </c>
      <c r="P139" s="191">
        <v>101.0</v>
      </c>
      <c r="Q139" s="191">
        <v>9.0</v>
      </c>
      <c r="R139" s="191">
        <v>0.0</v>
      </c>
      <c r="S139" s="191">
        <v>0.0</v>
      </c>
      <c r="T139" s="191" t="s">
        <v>104</v>
      </c>
      <c r="U139" s="188" t="s">
        <v>575</v>
      </c>
      <c r="V139" s="190" t="s">
        <v>753</v>
      </c>
      <c r="W139" s="196" t="s">
        <v>551</v>
      </c>
      <c r="X139" s="196" t="s">
        <v>914</v>
      </c>
      <c r="Y139" s="247" t="s">
        <v>52</v>
      </c>
      <c r="Z139" s="247" t="s">
        <v>557</v>
      </c>
      <c r="AA139" s="247" t="s">
        <v>11</v>
      </c>
      <c r="AB139" s="247" t="s">
        <v>915</v>
      </c>
      <c r="AC139" s="218">
        <v>1.0</v>
      </c>
      <c r="AD139" s="218">
        <v>2.0</v>
      </c>
      <c r="AE139" s="218">
        <v>1.0</v>
      </c>
      <c r="AF139" s="218">
        <v>1.0</v>
      </c>
    </row>
    <row r="140">
      <c r="A140" s="182">
        <v>428.0</v>
      </c>
      <c r="B140" s="196" t="s">
        <v>52</v>
      </c>
      <c r="C140" s="284" t="str">
        <f>HYPERLINK("https://azurlane.koumakan.jp/Biloxi","Biloxi")</f>
        <v>Biloxi</v>
      </c>
      <c r="D140" s="191" t="s">
        <v>28</v>
      </c>
      <c r="E140" s="191">
        <v>4406.0</v>
      </c>
      <c r="F140" s="191">
        <v>153.0</v>
      </c>
      <c r="G140" s="191">
        <v>0.0</v>
      </c>
      <c r="H140" s="191">
        <v>0.0</v>
      </c>
      <c r="I140" s="191">
        <v>330.0</v>
      </c>
      <c r="J140" s="191">
        <v>190.0</v>
      </c>
      <c r="K140" s="191">
        <v>113.0</v>
      </c>
      <c r="L140" s="191" t="s">
        <v>29</v>
      </c>
      <c r="M140" s="191">
        <v>33.0</v>
      </c>
      <c r="N140" s="170">
        <v>173.0</v>
      </c>
      <c r="O140" s="170">
        <v>68.0</v>
      </c>
      <c r="P140" s="191">
        <v>102.0</v>
      </c>
      <c r="Q140" s="191">
        <v>10.0</v>
      </c>
      <c r="R140" s="191">
        <v>0.0</v>
      </c>
      <c r="S140" s="191">
        <v>0.0</v>
      </c>
      <c r="T140" s="191" t="s">
        <v>37</v>
      </c>
      <c r="U140" s="194" t="s">
        <v>1042</v>
      </c>
      <c r="V140" s="194" t="s">
        <v>1043</v>
      </c>
      <c r="W140" s="191" t="s">
        <v>551</v>
      </c>
      <c r="X140" s="191" t="s">
        <v>900</v>
      </c>
      <c r="Y140" s="191" t="s">
        <v>52</v>
      </c>
      <c r="Z140" s="191" t="s">
        <v>27</v>
      </c>
      <c r="AA140" s="191" t="s">
        <v>11</v>
      </c>
      <c r="AB140" s="191" t="s">
        <v>901</v>
      </c>
      <c r="AC140" s="170">
        <v>2.0</v>
      </c>
      <c r="AD140" s="170">
        <v>0.0</v>
      </c>
      <c r="AE140" s="170">
        <v>0.0</v>
      </c>
      <c r="AF140" s="170">
        <v>1.0</v>
      </c>
    </row>
    <row r="141">
      <c r="A141" s="277">
        <v>434.0</v>
      </c>
      <c r="B141" s="248" t="s">
        <v>52</v>
      </c>
      <c r="C141" s="284" t="str">
        <f>HYPERLINK("https://azurlane.koumakan.jp/Pamiat_Merkuria","Pamiat Merkuria")</f>
        <v>Pamiat Merkuria</v>
      </c>
      <c r="D141" s="191" t="s">
        <v>28</v>
      </c>
      <c r="E141" s="248">
        <v>3130.0</v>
      </c>
      <c r="F141" s="248">
        <v>84.0</v>
      </c>
      <c r="G141" s="248">
        <v>144.0</v>
      </c>
      <c r="H141" s="248">
        <v>0.0</v>
      </c>
      <c r="I141" s="248">
        <v>148.0</v>
      </c>
      <c r="J141" s="248">
        <v>141.0</v>
      </c>
      <c r="K141" s="248">
        <v>103.0</v>
      </c>
      <c r="L141" s="248" t="s">
        <v>71</v>
      </c>
      <c r="M141" s="248">
        <v>23.0</v>
      </c>
      <c r="N141" s="262">
        <v>140.0</v>
      </c>
      <c r="O141" s="262">
        <v>88.0</v>
      </c>
      <c r="P141" s="248">
        <v>56.0</v>
      </c>
      <c r="Q141" s="191">
        <v>10.0</v>
      </c>
      <c r="R141" s="248">
        <v>0.0</v>
      </c>
      <c r="S141" s="248">
        <v>0.0</v>
      </c>
      <c r="T141" s="160" t="s">
        <v>212</v>
      </c>
      <c r="U141" s="193" t="s">
        <v>1044</v>
      </c>
      <c r="V141" s="191" t="s">
        <v>551</v>
      </c>
      <c r="W141" s="191" t="s">
        <v>551</v>
      </c>
      <c r="X141" s="191" t="s">
        <v>1045</v>
      </c>
      <c r="Y141" s="191" t="s">
        <v>52</v>
      </c>
      <c r="Z141" s="191" t="s">
        <v>557</v>
      </c>
      <c r="AA141" s="191" t="s">
        <v>11</v>
      </c>
      <c r="AB141" s="191" t="s">
        <v>1046</v>
      </c>
      <c r="AC141" s="191">
        <v>2.0</v>
      </c>
      <c r="AD141" s="191">
        <v>1.0</v>
      </c>
      <c r="AE141" s="191">
        <v>0.0</v>
      </c>
      <c r="AF141" s="191">
        <v>1.0</v>
      </c>
    </row>
    <row r="142">
      <c r="A142" s="277">
        <v>434.1</v>
      </c>
      <c r="B142" s="248" t="s">
        <v>52</v>
      </c>
      <c r="C142" s="207" t="s">
        <v>288</v>
      </c>
      <c r="D142" s="191" t="s">
        <v>32</v>
      </c>
      <c r="E142" s="248">
        <v>3370.0</v>
      </c>
      <c r="F142" s="248">
        <v>129.0</v>
      </c>
      <c r="G142" s="248">
        <v>164.0</v>
      </c>
      <c r="H142" s="248">
        <v>0.0</v>
      </c>
      <c r="I142" s="248">
        <v>198.0</v>
      </c>
      <c r="J142" s="248">
        <v>141.0</v>
      </c>
      <c r="K142" s="248">
        <v>103.0</v>
      </c>
      <c r="L142" s="248" t="s">
        <v>71</v>
      </c>
      <c r="M142" s="248">
        <v>23.0</v>
      </c>
      <c r="N142" s="262">
        <v>150.0</v>
      </c>
      <c r="O142" s="262">
        <v>88.0</v>
      </c>
      <c r="P142" s="248">
        <v>56.0</v>
      </c>
      <c r="Q142" s="248">
        <v>10.0</v>
      </c>
      <c r="R142" s="248">
        <v>0.0</v>
      </c>
      <c r="S142" s="248">
        <v>0.0</v>
      </c>
      <c r="T142" s="160" t="s">
        <v>212</v>
      </c>
      <c r="U142" s="173" t="s">
        <v>1044</v>
      </c>
      <c r="V142" s="173" t="s">
        <v>1047</v>
      </c>
      <c r="W142" s="191" t="s">
        <v>551</v>
      </c>
      <c r="X142" s="191" t="s">
        <v>1045</v>
      </c>
      <c r="Y142" s="191" t="s">
        <v>27</v>
      </c>
      <c r="Z142" s="191" t="s">
        <v>557</v>
      </c>
      <c r="AA142" s="191" t="s">
        <v>11</v>
      </c>
      <c r="AB142" s="191" t="s">
        <v>1048</v>
      </c>
      <c r="AC142" s="170">
        <v>2.0</v>
      </c>
      <c r="AD142" s="170">
        <v>1.0</v>
      </c>
      <c r="AE142" s="170">
        <v>0.0</v>
      </c>
      <c r="AF142" s="170">
        <v>1.0</v>
      </c>
    </row>
    <row r="143">
      <c r="A143" s="277">
        <v>435.0</v>
      </c>
      <c r="B143" s="248" t="s">
        <v>52</v>
      </c>
      <c r="C143" s="207" t="s">
        <v>289</v>
      </c>
      <c r="D143" s="191" t="s">
        <v>32</v>
      </c>
      <c r="E143" s="248">
        <v>4168.0</v>
      </c>
      <c r="F143" s="248">
        <v>185.0</v>
      </c>
      <c r="G143" s="248">
        <v>300.0</v>
      </c>
      <c r="H143" s="248">
        <v>0.0</v>
      </c>
      <c r="I143" s="248">
        <v>351.0</v>
      </c>
      <c r="J143" s="248">
        <v>190.0</v>
      </c>
      <c r="K143" s="248">
        <v>130.0</v>
      </c>
      <c r="L143" s="248" t="s">
        <v>29</v>
      </c>
      <c r="M143" s="248">
        <v>36.0</v>
      </c>
      <c r="N143" s="262">
        <v>162.0</v>
      </c>
      <c r="O143" s="262">
        <v>52.0</v>
      </c>
      <c r="P143" s="248">
        <v>156.0</v>
      </c>
      <c r="Q143" s="248">
        <v>11.0</v>
      </c>
      <c r="R143" s="248">
        <v>0.0</v>
      </c>
      <c r="S143" s="248">
        <v>0.0</v>
      </c>
      <c r="T143" s="160" t="s">
        <v>212</v>
      </c>
      <c r="U143" s="193" t="s">
        <v>1049</v>
      </c>
      <c r="V143" s="202" t="s">
        <v>1050</v>
      </c>
      <c r="W143" s="191" t="s">
        <v>551</v>
      </c>
      <c r="X143" s="191" t="s">
        <v>1051</v>
      </c>
      <c r="Y143" s="191" t="s">
        <v>52</v>
      </c>
      <c r="Z143" s="191" t="s">
        <v>557</v>
      </c>
      <c r="AA143" s="191" t="s">
        <v>11</v>
      </c>
      <c r="AB143" s="191" t="s">
        <v>1052</v>
      </c>
      <c r="AC143" s="191">
        <v>1.0</v>
      </c>
      <c r="AD143" s="191">
        <v>2.0</v>
      </c>
      <c r="AE143" s="191">
        <v>1.0</v>
      </c>
      <c r="AF143" s="191">
        <v>1.0</v>
      </c>
    </row>
    <row r="144">
      <c r="A144" s="277">
        <v>436.0</v>
      </c>
      <c r="B144" s="248" t="s">
        <v>52</v>
      </c>
      <c r="C144" s="264" t="str">
        <f>HYPERLINK("https://azurlane.koumakan.jp/Chapayev","Chapayev")</f>
        <v>Chapayev</v>
      </c>
      <c r="D144" s="191" t="s">
        <v>32</v>
      </c>
      <c r="E144" s="248">
        <v>4451.0</v>
      </c>
      <c r="F144" s="248">
        <v>174.0</v>
      </c>
      <c r="G144" s="248">
        <v>0.0</v>
      </c>
      <c r="H144" s="248">
        <v>0.0</v>
      </c>
      <c r="I144" s="248">
        <v>341.0</v>
      </c>
      <c r="J144" s="248">
        <v>197.0</v>
      </c>
      <c r="K144" s="248">
        <v>110.0</v>
      </c>
      <c r="L144" s="248" t="s">
        <v>29</v>
      </c>
      <c r="M144" s="248">
        <v>33.0</v>
      </c>
      <c r="N144" s="262">
        <v>168.0</v>
      </c>
      <c r="O144" s="262">
        <v>68.0</v>
      </c>
      <c r="P144" s="248">
        <v>149.0</v>
      </c>
      <c r="Q144" s="191">
        <v>11.0</v>
      </c>
      <c r="R144" s="248">
        <v>0.0</v>
      </c>
      <c r="S144" s="248">
        <v>0.0</v>
      </c>
      <c r="T144" s="160" t="s">
        <v>212</v>
      </c>
      <c r="U144" s="193" t="s">
        <v>1053</v>
      </c>
      <c r="V144" s="202" t="s">
        <v>1054</v>
      </c>
      <c r="W144" s="191" t="s">
        <v>551</v>
      </c>
      <c r="X144" s="191" t="s">
        <v>1055</v>
      </c>
      <c r="Y144" s="191" t="s">
        <v>52</v>
      </c>
      <c r="Z144" s="191" t="s">
        <v>27</v>
      </c>
      <c r="AA144" s="191" t="s">
        <v>11</v>
      </c>
      <c r="AB144" s="191" t="s">
        <v>994</v>
      </c>
      <c r="AC144" s="170">
        <v>2.0</v>
      </c>
      <c r="AD144" s="170">
        <v>0.0</v>
      </c>
      <c r="AE144" s="170">
        <v>0.0</v>
      </c>
      <c r="AF144" s="170">
        <v>1.0</v>
      </c>
    </row>
    <row r="145">
      <c r="A145" s="277">
        <v>443.0</v>
      </c>
      <c r="B145" s="248" t="s">
        <v>66</v>
      </c>
      <c r="C145" s="197" t="str">
        <f>HYPERLINK("https://azurlane.koumakan.jp/Bremerton","Bremerton")</f>
        <v>Bremerton</v>
      </c>
      <c r="D145" s="191" t="s">
        <v>32</v>
      </c>
      <c r="E145" s="248">
        <v>4939.0</v>
      </c>
      <c r="F145" s="248">
        <v>271.0</v>
      </c>
      <c r="G145" s="248">
        <v>0.0</v>
      </c>
      <c r="H145" s="248">
        <v>0.0</v>
      </c>
      <c r="I145" s="248">
        <v>272.0</v>
      </c>
      <c r="J145" s="248">
        <v>186.0</v>
      </c>
      <c r="K145" s="248">
        <v>59.0</v>
      </c>
      <c r="L145" s="248" t="s">
        <v>71</v>
      </c>
      <c r="M145" s="248">
        <v>26.0</v>
      </c>
      <c r="N145" s="262">
        <v>139.0</v>
      </c>
      <c r="O145" s="262">
        <v>55.0</v>
      </c>
      <c r="P145" s="248">
        <v>0.0</v>
      </c>
      <c r="Q145" s="191">
        <v>12.0</v>
      </c>
      <c r="R145" s="248">
        <v>0.0</v>
      </c>
      <c r="S145" s="248">
        <v>0.0</v>
      </c>
      <c r="T145" s="160" t="s">
        <v>37</v>
      </c>
      <c r="U145" s="193" t="s">
        <v>1227</v>
      </c>
      <c r="V145" s="194" t="s">
        <v>1228</v>
      </c>
      <c r="W145" s="191" t="s">
        <v>551</v>
      </c>
      <c r="X145" s="191" t="s">
        <v>1163</v>
      </c>
      <c r="Y145" s="191" t="s">
        <v>66</v>
      </c>
      <c r="Z145" s="191" t="s">
        <v>27</v>
      </c>
      <c r="AA145" s="191" t="s">
        <v>11</v>
      </c>
      <c r="AB145" s="191" t="s">
        <v>1229</v>
      </c>
      <c r="AC145" s="170">
        <v>2.0</v>
      </c>
      <c r="AD145" s="170">
        <v>0.0</v>
      </c>
      <c r="AE145" s="170">
        <v>0.0</v>
      </c>
      <c r="AF145" s="170">
        <v>1.0</v>
      </c>
    </row>
    <row r="146">
      <c r="A146" s="277">
        <v>445.0</v>
      </c>
      <c r="B146" s="248" t="s">
        <v>52</v>
      </c>
      <c r="C146" s="197" t="str">
        <f>HYPERLINK("https://azurlane.koumakan.jp/Reno","Reno")</f>
        <v>Reno</v>
      </c>
      <c r="D146" s="191" t="s">
        <v>32</v>
      </c>
      <c r="E146" s="248">
        <v>3842.0</v>
      </c>
      <c r="F146" s="248">
        <v>150.0</v>
      </c>
      <c r="G146" s="248">
        <v>199.0</v>
      </c>
      <c r="H146" s="248">
        <v>0.0</v>
      </c>
      <c r="I146" s="248">
        <v>489.0</v>
      </c>
      <c r="J146" s="248">
        <v>193.0</v>
      </c>
      <c r="K146" s="248">
        <v>112.0</v>
      </c>
      <c r="L146" s="248" t="s">
        <v>29</v>
      </c>
      <c r="M146" s="248">
        <v>32.0</v>
      </c>
      <c r="N146" s="262">
        <v>173.0</v>
      </c>
      <c r="O146" s="262">
        <v>52.0</v>
      </c>
      <c r="P146" s="288">
        <v>206.0</v>
      </c>
      <c r="Q146" s="191">
        <v>11.0</v>
      </c>
      <c r="R146" s="248">
        <v>0.0</v>
      </c>
      <c r="S146" s="248">
        <v>0.0</v>
      </c>
      <c r="T146" s="160" t="s">
        <v>37</v>
      </c>
      <c r="U146" s="193" t="s">
        <v>1056</v>
      </c>
      <c r="V146" s="202" t="s">
        <v>1057</v>
      </c>
      <c r="W146" s="191" t="s">
        <v>551</v>
      </c>
      <c r="X146" s="191" t="s">
        <v>1058</v>
      </c>
      <c r="Y146" s="191" t="s">
        <v>677</v>
      </c>
      <c r="Z146" s="191" t="s">
        <v>557</v>
      </c>
      <c r="AA146" s="191" t="s">
        <v>11</v>
      </c>
      <c r="AB146" s="247" t="s">
        <v>1059</v>
      </c>
      <c r="AC146" s="170">
        <v>1.0</v>
      </c>
      <c r="AD146" s="170">
        <v>2.0</v>
      </c>
      <c r="AE146" s="170">
        <v>1.0</v>
      </c>
      <c r="AF146" s="170">
        <v>1.0</v>
      </c>
    </row>
    <row r="147">
      <c r="A147" s="277">
        <v>448.0</v>
      </c>
      <c r="B147" s="262" t="s">
        <v>52</v>
      </c>
      <c r="C147" s="152" t="str">
        <f>HYPERLINK("https://azurlane.koumakan.jp/Marblehead","Marblehead")</f>
        <v>Marblehead</v>
      </c>
      <c r="D147" s="170" t="s">
        <v>36</v>
      </c>
      <c r="E147" s="262">
        <v>3378.0</v>
      </c>
      <c r="F147" s="262">
        <v>137.0</v>
      </c>
      <c r="G147" s="262">
        <v>248.0</v>
      </c>
      <c r="H147" s="262">
        <v>0.0</v>
      </c>
      <c r="I147" s="262">
        <v>292.0</v>
      </c>
      <c r="J147" s="262">
        <v>188.0</v>
      </c>
      <c r="K147" s="262">
        <v>120.0</v>
      </c>
      <c r="L147" s="262" t="s">
        <v>29</v>
      </c>
      <c r="M147" s="262">
        <v>35.0</v>
      </c>
      <c r="N147" s="262">
        <v>156.0</v>
      </c>
      <c r="O147" s="262">
        <v>55.0</v>
      </c>
      <c r="P147" s="262">
        <v>84.0</v>
      </c>
      <c r="Q147" s="170">
        <v>9.0</v>
      </c>
      <c r="R147" s="262">
        <v>0.0</v>
      </c>
      <c r="S147" s="262">
        <v>0.0</v>
      </c>
      <c r="T147" s="147" t="s">
        <v>37</v>
      </c>
      <c r="U147" s="188" t="s">
        <v>562</v>
      </c>
      <c r="V147" s="191" t="s">
        <v>551</v>
      </c>
      <c r="W147" s="191" t="s">
        <v>551</v>
      </c>
      <c r="X147" s="191" t="s">
        <v>879</v>
      </c>
      <c r="Y147" s="191" t="s">
        <v>52</v>
      </c>
      <c r="Z147" s="191" t="s">
        <v>557</v>
      </c>
      <c r="AA147" s="191" t="s">
        <v>11</v>
      </c>
      <c r="AB147" s="191" t="s">
        <v>1008</v>
      </c>
      <c r="AC147" s="191">
        <v>1.0</v>
      </c>
      <c r="AD147" s="191">
        <v>2.0</v>
      </c>
      <c r="AE147" s="191">
        <v>1.0</v>
      </c>
      <c r="AF147" s="191">
        <v>1.0</v>
      </c>
    </row>
    <row r="148">
      <c r="A148" s="156">
        <v>454.0</v>
      </c>
      <c r="B148" s="149" t="s">
        <v>52</v>
      </c>
      <c r="C148" s="157" t="s">
        <v>302</v>
      </c>
      <c r="D148" s="142" t="s">
        <v>32</v>
      </c>
      <c r="E148" s="145">
        <v>3298.0</v>
      </c>
      <c r="F148" s="145">
        <v>155.0</v>
      </c>
      <c r="G148" s="145">
        <v>268.0</v>
      </c>
      <c r="H148" s="145">
        <v>0.0</v>
      </c>
      <c r="I148" s="145">
        <v>282.0</v>
      </c>
      <c r="J148" s="145">
        <v>185.0</v>
      </c>
      <c r="K148" s="145">
        <v>94.0</v>
      </c>
      <c r="L148" s="145" t="s">
        <v>29</v>
      </c>
      <c r="M148" s="145">
        <v>25.0</v>
      </c>
      <c r="N148" s="145">
        <v>183.0</v>
      </c>
      <c r="O148" s="145">
        <v>83.0</v>
      </c>
      <c r="P148" s="145">
        <v>150.0</v>
      </c>
      <c r="Q148" s="145">
        <v>11.0</v>
      </c>
      <c r="R148" s="145">
        <v>0.0</v>
      </c>
      <c r="S148" s="145">
        <v>0.0</v>
      </c>
      <c r="T148" s="147" t="s">
        <v>243</v>
      </c>
      <c r="U148" s="188" t="s">
        <v>1060</v>
      </c>
      <c r="V148" s="190" t="s">
        <v>1061</v>
      </c>
      <c r="W148" s="205" t="s">
        <v>551</v>
      </c>
      <c r="X148" s="159" t="s">
        <v>1062</v>
      </c>
      <c r="Y148" s="160" t="s">
        <v>52</v>
      </c>
      <c r="Z148" s="160" t="s">
        <v>557</v>
      </c>
      <c r="AA148" s="160" t="s">
        <v>11</v>
      </c>
      <c r="AB148" s="160" t="s">
        <v>1063</v>
      </c>
      <c r="AC148" s="160">
        <v>1.0</v>
      </c>
      <c r="AD148" s="160">
        <v>2.0</v>
      </c>
      <c r="AE148" s="160">
        <v>1.0</v>
      </c>
      <c r="AF148" s="160">
        <v>1.0</v>
      </c>
    </row>
    <row r="149">
      <c r="A149" s="156">
        <v>455.0</v>
      </c>
      <c r="B149" s="149" t="s">
        <v>66</v>
      </c>
      <c r="C149" s="157" t="s">
        <v>304</v>
      </c>
      <c r="D149" s="142" t="s">
        <v>32</v>
      </c>
      <c r="E149" s="145">
        <v>5136.0</v>
      </c>
      <c r="F149" s="145">
        <v>283.0</v>
      </c>
      <c r="G149" s="145">
        <v>226.0</v>
      </c>
      <c r="H149" s="145">
        <v>0.0</v>
      </c>
      <c r="I149" s="145">
        <v>249.0</v>
      </c>
      <c r="J149" s="145">
        <v>197.0</v>
      </c>
      <c r="K149" s="145">
        <v>69.0</v>
      </c>
      <c r="L149" s="145" t="s">
        <v>71</v>
      </c>
      <c r="M149" s="145">
        <v>24.0</v>
      </c>
      <c r="N149" s="145">
        <v>141.0</v>
      </c>
      <c r="O149" s="145">
        <v>50.0</v>
      </c>
      <c r="P149" s="145">
        <v>0.0</v>
      </c>
      <c r="Q149" s="145">
        <v>12.0</v>
      </c>
      <c r="R149" s="145">
        <v>0.0</v>
      </c>
      <c r="S149" s="145">
        <v>0.0</v>
      </c>
      <c r="T149" s="147" t="s">
        <v>247</v>
      </c>
      <c r="U149" s="188" t="s">
        <v>1230</v>
      </c>
      <c r="V149" s="190" t="s">
        <v>1231</v>
      </c>
      <c r="W149" s="205" t="s">
        <v>551</v>
      </c>
      <c r="X149" s="159" t="s">
        <v>1232</v>
      </c>
      <c r="Y149" s="160" t="s">
        <v>66</v>
      </c>
      <c r="Z149" s="160" t="s">
        <v>557</v>
      </c>
      <c r="AA149" s="160" t="s">
        <v>11</v>
      </c>
      <c r="AB149" s="160" t="s">
        <v>1198</v>
      </c>
      <c r="AC149" s="160">
        <v>1.0</v>
      </c>
      <c r="AD149" s="160">
        <v>2.0</v>
      </c>
      <c r="AE149" s="160">
        <v>1.0</v>
      </c>
      <c r="AF149" s="160">
        <v>1.0</v>
      </c>
    </row>
    <row r="150" ht="15.75" customHeight="1">
      <c r="A150" s="156">
        <v>456.0</v>
      </c>
      <c r="B150" s="149" t="s">
        <v>52</v>
      </c>
      <c r="C150" s="157" t="s">
        <v>305</v>
      </c>
      <c r="D150" s="142" t="s">
        <v>28</v>
      </c>
      <c r="E150" s="165">
        <v>3565.0</v>
      </c>
      <c r="F150" s="145">
        <v>174.0</v>
      </c>
      <c r="G150" s="145">
        <v>283.0</v>
      </c>
      <c r="H150" s="145">
        <v>0.0</v>
      </c>
      <c r="I150" s="145">
        <v>316.0</v>
      </c>
      <c r="J150" s="145">
        <v>178.0</v>
      </c>
      <c r="K150" s="145">
        <v>136.0</v>
      </c>
      <c r="L150" s="145" t="s">
        <v>29</v>
      </c>
      <c r="M150" s="145">
        <v>31.0</v>
      </c>
      <c r="N150" s="145">
        <v>177.0</v>
      </c>
      <c r="O150" s="145">
        <v>35.0</v>
      </c>
      <c r="P150" s="145">
        <v>148.0</v>
      </c>
      <c r="Q150" s="145">
        <v>10.0</v>
      </c>
      <c r="R150" s="145">
        <v>0.0</v>
      </c>
      <c r="S150" s="145">
        <v>0.0</v>
      </c>
      <c r="T150" s="147" t="s">
        <v>247</v>
      </c>
      <c r="U150" s="148" t="s">
        <v>1064</v>
      </c>
      <c r="V150" s="164" t="s">
        <v>1065</v>
      </c>
      <c r="W150" s="162" t="s">
        <v>551</v>
      </c>
      <c r="X150" s="149" t="s">
        <v>1066</v>
      </c>
      <c r="Y150" s="147" t="s">
        <v>52</v>
      </c>
      <c r="Z150" s="147" t="s">
        <v>557</v>
      </c>
      <c r="AA150" s="147" t="s">
        <v>11</v>
      </c>
      <c r="AB150" s="147" t="s">
        <v>1067</v>
      </c>
      <c r="AC150" s="147">
        <v>1.0</v>
      </c>
      <c r="AD150" s="147">
        <v>2.0</v>
      </c>
      <c r="AE150" s="147">
        <v>1.0</v>
      </c>
      <c r="AF150" s="147">
        <v>1.0</v>
      </c>
    </row>
    <row r="151">
      <c r="A151" s="277">
        <v>463.0</v>
      </c>
      <c r="B151" s="248" t="s">
        <v>52</v>
      </c>
      <c r="C151" s="152" t="s">
        <v>316</v>
      </c>
      <c r="D151" s="191" t="s">
        <v>32</v>
      </c>
      <c r="E151" s="248">
        <v>3831.0</v>
      </c>
      <c r="F151" s="248">
        <v>161.0</v>
      </c>
      <c r="G151" s="248">
        <v>175.0</v>
      </c>
      <c r="H151" s="248">
        <v>0.0</v>
      </c>
      <c r="I151" s="248">
        <v>389.0</v>
      </c>
      <c r="J151" s="248">
        <v>196.0</v>
      </c>
      <c r="K151" s="248">
        <v>113.0</v>
      </c>
      <c r="L151" s="248" t="s">
        <v>29</v>
      </c>
      <c r="M151" s="248">
        <v>32.0</v>
      </c>
      <c r="N151" s="262">
        <v>164.0</v>
      </c>
      <c r="O151" s="262">
        <v>58.0</v>
      </c>
      <c r="P151" s="248">
        <v>190.0</v>
      </c>
      <c r="Q151" s="248">
        <v>11.0</v>
      </c>
      <c r="R151" s="248">
        <v>0.0</v>
      </c>
      <c r="S151" s="248">
        <v>0.0</v>
      </c>
      <c r="T151" s="147" t="s">
        <v>104</v>
      </c>
      <c r="U151" s="193" t="s">
        <v>1068</v>
      </c>
      <c r="V151" s="202" t="s">
        <v>1069</v>
      </c>
      <c r="W151" s="205" t="s">
        <v>551</v>
      </c>
      <c r="X151" s="193" t="s">
        <v>1070</v>
      </c>
      <c r="Y151" s="191" t="s">
        <v>677</v>
      </c>
      <c r="Z151" s="191" t="s">
        <v>557</v>
      </c>
      <c r="AA151" s="191" t="s">
        <v>11</v>
      </c>
      <c r="AB151" s="191" t="s">
        <v>1071</v>
      </c>
      <c r="AC151" s="191">
        <v>1.0</v>
      </c>
      <c r="AD151" s="191">
        <v>2.0</v>
      </c>
      <c r="AE151" s="191">
        <v>1.0</v>
      </c>
      <c r="AF151" s="191">
        <v>1.0</v>
      </c>
    </row>
    <row r="152">
      <c r="A152" s="277">
        <v>469.0</v>
      </c>
      <c r="B152" s="248" t="s">
        <v>66</v>
      </c>
      <c r="C152" s="152" t="s">
        <v>324</v>
      </c>
      <c r="D152" s="191" t="s">
        <v>28</v>
      </c>
      <c r="E152" s="248">
        <v>4236.0</v>
      </c>
      <c r="F152" s="248">
        <v>240.0</v>
      </c>
      <c r="G152" s="248">
        <v>215.0</v>
      </c>
      <c r="H152" s="248">
        <v>0.0</v>
      </c>
      <c r="I152" s="248">
        <v>219.0</v>
      </c>
      <c r="J152" s="248">
        <v>188.0</v>
      </c>
      <c r="K152" s="248">
        <v>85.0</v>
      </c>
      <c r="L152" s="248" t="s">
        <v>71</v>
      </c>
      <c r="M152" s="248">
        <v>27.0</v>
      </c>
      <c r="N152" s="262">
        <v>132.0</v>
      </c>
      <c r="O152" s="262">
        <v>10.0</v>
      </c>
      <c r="P152" s="248">
        <v>0.0</v>
      </c>
      <c r="Q152" s="248">
        <v>11.0</v>
      </c>
      <c r="R152" s="248">
        <v>0.0</v>
      </c>
      <c r="S152" s="248">
        <v>0.0</v>
      </c>
      <c r="T152" s="147" t="s">
        <v>143</v>
      </c>
      <c r="U152" s="194" t="s">
        <v>1233</v>
      </c>
      <c r="V152" s="190" t="s">
        <v>949</v>
      </c>
      <c r="W152" s="191" t="s">
        <v>551</v>
      </c>
      <c r="X152" s="191" t="s">
        <v>1216</v>
      </c>
      <c r="Y152" s="191" t="s">
        <v>1217</v>
      </c>
      <c r="Z152" s="191" t="s">
        <v>557</v>
      </c>
      <c r="AA152" s="191" t="s">
        <v>11</v>
      </c>
      <c r="AB152" s="191" t="s">
        <v>1218</v>
      </c>
      <c r="AC152" s="191">
        <v>1.0</v>
      </c>
      <c r="AD152" s="191">
        <v>2.0</v>
      </c>
      <c r="AE152" s="191">
        <v>1.0</v>
      </c>
      <c r="AF152" s="191">
        <v>1.0</v>
      </c>
    </row>
    <row r="153">
      <c r="A153" s="277">
        <v>476.0</v>
      </c>
      <c r="B153" s="248" t="s">
        <v>52</v>
      </c>
      <c r="C153" s="152" t="s">
        <v>334</v>
      </c>
      <c r="D153" s="191" t="s">
        <v>32</v>
      </c>
      <c r="E153" s="248">
        <v>4012.0</v>
      </c>
      <c r="F153" s="248">
        <v>150.0</v>
      </c>
      <c r="G153" s="248">
        <v>180.0</v>
      </c>
      <c r="H153" s="248">
        <v>0.0</v>
      </c>
      <c r="I153" s="248">
        <v>433.0</v>
      </c>
      <c r="J153" s="248">
        <v>196.0</v>
      </c>
      <c r="K153" s="248">
        <v>114.0</v>
      </c>
      <c r="L153" s="248" t="s">
        <v>29</v>
      </c>
      <c r="M153" s="248">
        <v>32.0</v>
      </c>
      <c r="N153" s="262">
        <v>170.0</v>
      </c>
      <c r="O153" s="262">
        <v>85.0</v>
      </c>
      <c r="P153" s="248">
        <v>171.0</v>
      </c>
      <c r="Q153" s="248">
        <v>11.0</v>
      </c>
      <c r="R153" s="248">
        <v>0.0</v>
      </c>
      <c r="S153" s="248">
        <v>0.0</v>
      </c>
      <c r="T153" s="147" t="s">
        <v>104</v>
      </c>
      <c r="U153" s="194" t="s">
        <v>1072</v>
      </c>
      <c r="V153" s="202" t="s">
        <v>1073</v>
      </c>
      <c r="W153" s="191" t="s">
        <v>551</v>
      </c>
      <c r="X153" s="196" t="s">
        <v>912</v>
      </c>
      <c r="Y153" s="191" t="s">
        <v>677</v>
      </c>
      <c r="Z153" s="191" t="s">
        <v>557</v>
      </c>
      <c r="AA153" s="191" t="s">
        <v>11</v>
      </c>
      <c r="AB153" s="191" t="s">
        <v>1074</v>
      </c>
      <c r="AC153" s="191">
        <v>1.0</v>
      </c>
      <c r="AD153" s="191">
        <v>2.0</v>
      </c>
      <c r="AE153" s="191">
        <v>1.0</v>
      </c>
      <c r="AF153" s="191">
        <v>1.0</v>
      </c>
    </row>
    <row r="154">
      <c r="A154" s="277">
        <v>478.0</v>
      </c>
      <c r="B154" s="248" t="s">
        <v>66</v>
      </c>
      <c r="C154" s="152" t="s">
        <v>336</v>
      </c>
      <c r="D154" s="191" t="s">
        <v>28</v>
      </c>
      <c r="E154" s="248">
        <v>4753.0</v>
      </c>
      <c r="F154" s="248">
        <v>265.0</v>
      </c>
      <c r="G154" s="248">
        <v>0.0</v>
      </c>
      <c r="H154" s="248">
        <v>0.0</v>
      </c>
      <c r="I154" s="248">
        <v>257.0</v>
      </c>
      <c r="J154" s="248">
        <v>180.0</v>
      </c>
      <c r="K154" s="248">
        <v>59.0</v>
      </c>
      <c r="L154" s="248" t="s">
        <v>71</v>
      </c>
      <c r="M154" s="248">
        <v>26.0</v>
      </c>
      <c r="N154" s="262">
        <v>139.0</v>
      </c>
      <c r="O154" s="262">
        <v>56.0</v>
      </c>
      <c r="P154" s="248">
        <v>0.0</v>
      </c>
      <c r="Q154" s="248">
        <v>11.0</v>
      </c>
      <c r="R154" s="248">
        <v>0.0</v>
      </c>
      <c r="S154" s="248">
        <v>0.0</v>
      </c>
      <c r="T154" s="147" t="s">
        <v>37</v>
      </c>
      <c r="U154" s="173" t="s">
        <v>1234</v>
      </c>
      <c r="V154" s="202" t="s">
        <v>1235</v>
      </c>
      <c r="W154" s="191" t="s">
        <v>551</v>
      </c>
      <c r="X154" s="191" t="s">
        <v>1163</v>
      </c>
      <c r="Y154" s="191" t="s">
        <v>66</v>
      </c>
      <c r="Z154" s="191" t="s">
        <v>27</v>
      </c>
      <c r="AA154" s="191" t="s">
        <v>11</v>
      </c>
      <c r="AB154" s="191" t="s">
        <v>1236</v>
      </c>
      <c r="AC154" s="191">
        <v>2.0</v>
      </c>
      <c r="AD154" s="191">
        <v>0.0</v>
      </c>
      <c r="AE154" s="191">
        <v>0.0</v>
      </c>
      <c r="AF154" s="191">
        <v>1.0</v>
      </c>
    </row>
    <row r="155">
      <c r="A155" s="277">
        <v>479.0</v>
      </c>
      <c r="B155" s="248" t="s">
        <v>66</v>
      </c>
      <c r="C155" s="152" t="s">
        <v>337</v>
      </c>
      <c r="D155" s="191" t="s">
        <v>32</v>
      </c>
      <c r="E155" s="248">
        <v>6195.0</v>
      </c>
      <c r="F155" s="248">
        <v>287.0</v>
      </c>
      <c r="G155" s="248">
        <v>218.0</v>
      </c>
      <c r="H155" s="248">
        <v>0.0</v>
      </c>
      <c r="I155" s="248">
        <v>238.0</v>
      </c>
      <c r="J155" s="248">
        <v>174.0</v>
      </c>
      <c r="K155" s="248">
        <v>81.0</v>
      </c>
      <c r="L155" s="248" t="s">
        <v>71</v>
      </c>
      <c r="M155" s="248">
        <v>26.0</v>
      </c>
      <c r="N155" s="262">
        <v>129.0</v>
      </c>
      <c r="O155" s="262">
        <v>0.0</v>
      </c>
      <c r="P155" s="248">
        <v>0.0</v>
      </c>
      <c r="Q155" s="248">
        <v>12.0</v>
      </c>
      <c r="R155" s="248">
        <v>0.0</v>
      </c>
      <c r="S155" s="248">
        <v>0.0</v>
      </c>
      <c r="T155" s="147" t="s">
        <v>193</v>
      </c>
      <c r="U155" s="193" t="s">
        <v>1237</v>
      </c>
      <c r="V155" s="193" t="s">
        <v>1238</v>
      </c>
      <c r="W155" s="191" t="s">
        <v>551</v>
      </c>
      <c r="X155" s="191" t="s">
        <v>1239</v>
      </c>
      <c r="Y155" s="191" t="s">
        <v>66</v>
      </c>
      <c r="Z155" s="191" t="s">
        <v>557</v>
      </c>
      <c r="AA155" s="191" t="s">
        <v>11</v>
      </c>
      <c r="AB155" s="191" t="s">
        <v>1126</v>
      </c>
      <c r="AC155" s="191">
        <v>2.0</v>
      </c>
      <c r="AD155" s="191">
        <v>1.0</v>
      </c>
      <c r="AE155" s="191">
        <v>0.0</v>
      </c>
      <c r="AF155" s="191">
        <v>1.0</v>
      </c>
    </row>
    <row r="156">
      <c r="A156" s="277">
        <v>483.0</v>
      </c>
      <c r="B156" s="248" t="s">
        <v>66</v>
      </c>
      <c r="C156" s="152" t="s">
        <v>344</v>
      </c>
      <c r="D156" s="191" t="s">
        <v>32</v>
      </c>
      <c r="E156" s="248">
        <v>6084.0</v>
      </c>
      <c r="F156" s="288">
        <v>314.0</v>
      </c>
      <c r="G156" s="248">
        <v>248.0</v>
      </c>
      <c r="H156" s="248">
        <v>0.0</v>
      </c>
      <c r="I156" s="248">
        <v>223.0</v>
      </c>
      <c r="J156" s="248">
        <v>185.0</v>
      </c>
      <c r="K156" s="248">
        <v>68.0</v>
      </c>
      <c r="L156" s="248" t="s">
        <v>71</v>
      </c>
      <c r="M156" s="248">
        <v>26.0</v>
      </c>
      <c r="N156" s="262">
        <v>135.0</v>
      </c>
      <c r="O156" s="262">
        <v>50.0</v>
      </c>
      <c r="P156" s="248">
        <v>0.0</v>
      </c>
      <c r="Q156" s="248">
        <v>12.0</v>
      </c>
      <c r="R156" s="248">
        <v>0.0</v>
      </c>
      <c r="S156" s="248">
        <v>0.0</v>
      </c>
      <c r="T156" s="147" t="s">
        <v>193</v>
      </c>
      <c r="U156" s="193" t="s">
        <v>1240</v>
      </c>
      <c r="V156" s="194" t="s">
        <v>1241</v>
      </c>
      <c r="W156" s="191" t="s">
        <v>551</v>
      </c>
      <c r="X156" s="191" t="s">
        <v>1242</v>
      </c>
      <c r="Y156" s="191" t="s">
        <v>1243</v>
      </c>
      <c r="Z156" s="191" t="s">
        <v>557</v>
      </c>
      <c r="AA156" s="191" t="s">
        <v>11</v>
      </c>
      <c r="AB156" s="191" t="s">
        <v>1244</v>
      </c>
      <c r="AC156" s="191">
        <v>1.0</v>
      </c>
      <c r="AD156" s="191">
        <v>2.0</v>
      </c>
      <c r="AE156" s="191">
        <v>1.0</v>
      </c>
      <c r="AF156" s="191">
        <v>1.0</v>
      </c>
    </row>
    <row r="157">
      <c r="A157" s="277">
        <v>486.0</v>
      </c>
      <c r="B157" s="248" t="s">
        <v>52</v>
      </c>
      <c r="C157" s="152" t="s">
        <v>348</v>
      </c>
      <c r="D157" s="191" t="s">
        <v>28</v>
      </c>
      <c r="E157" s="248">
        <v>3900.0</v>
      </c>
      <c r="F157" s="248">
        <v>178.0</v>
      </c>
      <c r="G157" s="248">
        <v>308.0</v>
      </c>
      <c r="H157" s="248">
        <v>0.0</v>
      </c>
      <c r="I157" s="248">
        <v>411.0</v>
      </c>
      <c r="J157" s="248">
        <v>194.0</v>
      </c>
      <c r="K157" s="248">
        <v>116.0</v>
      </c>
      <c r="L157" s="248" t="s">
        <v>29</v>
      </c>
      <c r="M157" s="248">
        <v>32.0</v>
      </c>
      <c r="N157" s="262">
        <v>163.0</v>
      </c>
      <c r="O157" s="262">
        <v>80.0</v>
      </c>
      <c r="P157" s="248">
        <v>102.0</v>
      </c>
      <c r="Q157" s="248">
        <v>10.0</v>
      </c>
      <c r="R157" s="248">
        <v>0.0</v>
      </c>
      <c r="S157" s="248">
        <v>0.0</v>
      </c>
      <c r="T157" s="147" t="s">
        <v>193</v>
      </c>
      <c r="U157" s="202" t="s">
        <v>1075</v>
      </c>
      <c r="V157" s="193" t="s">
        <v>1076</v>
      </c>
      <c r="W157" s="191" t="s">
        <v>551</v>
      </c>
      <c r="X157" s="191" t="s">
        <v>959</v>
      </c>
      <c r="Y157" s="191" t="s">
        <v>52</v>
      </c>
      <c r="Z157" s="191" t="s">
        <v>557</v>
      </c>
      <c r="AA157" s="191" t="s">
        <v>11</v>
      </c>
      <c r="AB157" s="191" t="s">
        <v>1077</v>
      </c>
      <c r="AC157" s="191">
        <v>1.0</v>
      </c>
      <c r="AD157" s="191">
        <v>2.0</v>
      </c>
      <c r="AE157" s="191">
        <v>1.0</v>
      </c>
      <c r="AF157" s="191">
        <v>1.0</v>
      </c>
    </row>
    <row r="158">
      <c r="A158" s="277">
        <v>489.0</v>
      </c>
      <c r="B158" s="248" t="s">
        <v>66</v>
      </c>
      <c r="C158" s="171" t="s">
        <v>352</v>
      </c>
      <c r="D158" s="191" t="s">
        <v>32</v>
      </c>
      <c r="E158" s="248">
        <v>5056.0</v>
      </c>
      <c r="F158" s="248">
        <v>256.0</v>
      </c>
      <c r="G158" s="248">
        <v>0.0</v>
      </c>
      <c r="H158" s="248">
        <v>0.0</v>
      </c>
      <c r="I158" s="248">
        <v>248.0</v>
      </c>
      <c r="J158" s="248">
        <v>185.0</v>
      </c>
      <c r="K158" s="248">
        <v>59.0</v>
      </c>
      <c r="L158" s="248" t="s">
        <v>71</v>
      </c>
      <c r="M158" s="248">
        <v>26.0</v>
      </c>
      <c r="N158" s="262">
        <v>121.0</v>
      </c>
      <c r="O158" s="262">
        <v>75.0</v>
      </c>
      <c r="P158" s="248">
        <v>0.0</v>
      </c>
      <c r="Q158" s="248">
        <v>12.0</v>
      </c>
      <c r="R158" s="248">
        <v>0.0</v>
      </c>
      <c r="S158" s="248">
        <v>0.0</v>
      </c>
      <c r="T158" s="147" t="s">
        <v>269</v>
      </c>
      <c r="U158" s="193" t="s">
        <v>1245</v>
      </c>
      <c r="V158" s="202" t="s">
        <v>1246</v>
      </c>
      <c r="W158" s="191" t="s">
        <v>551</v>
      </c>
      <c r="X158" s="191" t="s">
        <v>1221</v>
      </c>
      <c r="Y158" s="191" t="s">
        <v>66</v>
      </c>
      <c r="Z158" s="191" t="s">
        <v>27</v>
      </c>
      <c r="AA158" s="191" t="s">
        <v>11</v>
      </c>
      <c r="AB158" s="191" t="s">
        <v>1247</v>
      </c>
      <c r="AC158" s="191">
        <v>2.0</v>
      </c>
      <c r="AD158" s="191">
        <v>0.0</v>
      </c>
      <c r="AE158" s="191">
        <v>0.0</v>
      </c>
      <c r="AF158" s="191">
        <v>1.0</v>
      </c>
    </row>
    <row r="159">
      <c r="A159" s="277">
        <v>493.0</v>
      </c>
      <c r="B159" s="248" t="s">
        <v>52</v>
      </c>
      <c r="C159" s="171" t="s">
        <v>359</v>
      </c>
      <c r="D159" s="191" t="s">
        <v>28</v>
      </c>
      <c r="E159" s="248">
        <v>2499.0</v>
      </c>
      <c r="F159" s="248">
        <v>71.0</v>
      </c>
      <c r="G159" s="248">
        <v>235.0</v>
      </c>
      <c r="H159" s="248">
        <v>0.0</v>
      </c>
      <c r="I159" s="248">
        <v>133.0</v>
      </c>
      <c r="J159" s="248">
        <v>141.0</v>
      </c>
      <c r="K159" s="248">
        <v>83.0</v>
      </c>
      <c r="L159" s="248" t="s">
        <v>71</v>
      </c>
      <c r="M159" s="248">
        <v>20.0</v>
      </c>
      <c r="N159" s="262">
        <v>159.0</v>
      </c>
      <c r="O159" s="262">
        <v>20.0</v>
      </c>
      <c r="P159" s="248">
        <v>73.0</v>
      </c>
      <c r="Q159" s="248">
        <v>9.0</v>
      </c>
      <c r="R159" s="248">
        <v>0.0</v>
      </c>
      <c r="S159" s="248">
        <v>0.0</v>
      </c>
      <c r="T159" s="147" t="s">
        <v>206</v>
      </c>
      <c r="U159" s="202" t="s">
        <v>1078</v>
      </c>
      <c r="V159" s="194" t="s">
        <v>1079</v>
      </c>
      <c r="W159" s="191" t="s">
        <v>551</v>
      </c>
      <c r="X159" s="191" t="s">
        <v>1080</v>
      </c>
      <c r="Y159" s="191" t="s">
        <v>52</v>
      </c>
      <c r="Z159" s="191" t="s">
        <v>27</v>
      </c>
      <c r="AA159" s="191" t="s">
        <v>557</v>
      </c>
      <c r="AB159" s="191" t="s">
        <v>1081</v>
      </c>
      <c r="AC159" s="191">
        <v>2.0</v>
      </c>
      <c r="AD159" s="191">
        <v>1.0</v>
      </c>
      <c r="AE159" s="191">
        <v>0.0</v>
      </c>
      <c r="AF159" s="191">
        <v>0.0</v>
      </c>
    </row>
    <row r="160">
      <c r="A160" s="277">
        <v>494.0</v>
      </c>
      <c r="B160" s="248" t="s">
        <v>52</v>
      </c>
      <c r="C160" s="171" t="s">
        <v>360</v>
      </c>
      <c r="D160" s="191" t="s">
        <v>28</v>
      </c>
      <c r="E160" s="248">
        <v>2596.0</v>
      </c>
      <c r="F160" s="248">
        <v>71.0</v>
      </c>
      <c r="G160" s="248">
        <v>235.0</v>
      </c>
      <c r="H160" s="248">
        <v>0.0</v>
      </c>
      <c r="I160" s="248">
        <v>131.0</v>
      </c>
      <c r="J160" s="248">
        <v>141.0</v>
      </c>
      <c r="K160" s="248">
        <v>83.0</v>
      </c>
      <c r="L160" s="248" t="s">
        <v>71</v>
      </c>
      <c r="M160" s="248">
        <v>20.0</v>
      </c>
      <c r="N160" s="262">
        <v>159.0</v>
      </c>
      <c r="O160" s="262">
        <v>20.0</v>
      </c>
      <c r="P160" s="248">
        <v>73.0</v>
      </c>
      <c r="Q160" s="248">
        <v>9.0</v>
      </c>
      <c r="R160" s="248">
        <v>0.0</v>
      </c>
      <c r="S160" s="248">
        <v>0.0</v>
      </c>
      <c r="T160" s="147" t="s">
        <v>206</v>
      </c>
      <c r="U160" s="202" t="s">
        <v>1082</v>
      </c>
      <c r="V160" s="194" t="s">
        <v>1083</v>
      </c>
      <c r="W160" s="191" t="s">
        <v>551</v>
      </c>
      <c r="X160" s="191" t="s">
        <v>1080</v>
      </c>
      <c r="Y160" s="191" t="s">
        <v>52</v>
      </c>
      <c r="Z160" s="191" t="s">
        <v>27</v>
      </c>
      <c r="AA160" s="191" t="s">
        <v>557</v>
      </c>
      <c r="AB160" s="191" t="s">
        <v>1081</v>
      </c>
      <c r="AC160" s="191">
        <v>2.0</v>
      </c>
      <c r="AD160" s="191">
        <v>1.0</v>
      </c>
      <c r="AE160" s="191">
        <v>0.0</v>
      </c>
      <c r="AF160" s="191">
        <v>0.0</v>
      </c>
    </row>
    <row r="161">
      <c r="A161" s="277">
        <v>495.0</v>
      </c>
      <c r="B161" s="248" t="s">
        <v>52</v>
      </c>
      <c r="C161" s="171" t="s">
        <v>361</v>
      </c>
      <c r="D161" s="191" t="s">
        <v>28</v>
      </c>
      <c r="E161" s="248">
        <v>2982.0</v>
      </c>
      <c r="F161" s="248">
        <v>161.0</v>
      </c>
      <c r="G161" s="248">
        <v>282.0</v>
      </c>
      <c r="H161" s="248">
        <v>0.0</v>
      </c>
      <c r="I161" s="248">
        <v>341.0</v>
      </c>
      <c r="J161" s="248">
        <v>196.0</v>
      </c>
      <c r="K161" s="248">
        <v>119.0</v>
      </c>
      <c r="L161" s="248" t="s">
        <v>29</v>
      </c>
      <c r="M161" s="248">
        <v>32.0</v>
      </c>
      <c r="N161" s="262">
        <v>175.0</v>
      </c>
      <c r="O161" s="262">
        <v>52.0</v>
      </c>
      <c r="P161" s="248">
        <v>119.0</v>
      </c>
      <c r="Q161" s="248">
        <v>10.0</v>
      </c>
      <c r="R161" s="248">
        <v>0.0</v>
      </c>
      <c r="S161" s="248">
        <v>0.0</v>
      </c>
      <c r="T161" s="147" t="s">
        <v>104</v>
      </c>
      <c r="U161" s="193" t="s">
        <v>1084</v>
      </c>
      <c r="V161" s="194" t="s">
        <v>1085</v>
      </c>
      <c r="W161" s="191" t="s">
        <v>551</v>
      </c>
      <c r="X161" s="191" t="s">
        <v>927</v>
      </c>
      <c r="Y161" s="191" t="s">
        <v>52</v>
      </c>
      <c r="Z161" s="191" t="s">
        <v>557</v>
      </c>
      <c r="AA161" s="191" t="s">
        <v>11</v>
      </c>
      <c r="AB161" s="191" t="s">
        <v>931</v>
      </c>
      <c r="AC161" s="191">
        <v>1.0</v>
      </c>
      <c r="AD161" s="191">
        <v>2.0</v>
      </c>
      <c r="AE161" s="191">
        <v>1.0</v>
      </c>
      <c r="AF161" s="191">
        <v>1.0</v>
      </c>
    </row>
    <row r="162">
      <c r="A162" s="277">
        <v>496.0</v>
      </c>
      <c r="B162" s="248" t="s">
        <v>66</v>
      </c>
      <c r="C162" s="171" t="s">
        <v>362</v>
      </c>
      <c r="D162" s="191" t="s">
        <v>32</v>
      </c>
      <c r="E162" s="248">
        <v>5742.0</v>
      </c>
      <c r="F162" s="248">
        <v>265.0</v>
      </c>
      <c r="G162" s="248">
        <v>199.0</v>
      </c>
      <c r="H162" s="248">
        <v>0.0</v>
      </c>
      <c r="I162" s="248">
        <v>226.0</v>
      </c>
      <c r="J162" s="248">
        <v>185.0</v>
      </c>
      <c r="K162" s="248">
        <v>64.0</v>
      </c>
      <c r="L162" s="248" t="s">
        <v>71</v>
      </c>
      <c r="M162" s="248">
        <v>25.0</v>
      </c>
      <c r="N162" s="262">
        <v>152.0</v>
      </c>
      <c r="O162" s="262">
        <v>80.0</v>
      </c>
      <c r="P162" s="248">
        <v>0.0</v>
      </c>
      <c r="Q162" s="248">
        <v>12.0</v>
      </c>
      <c r="R162" s="248">
        <v>0.0</v>
      </c>
      <c r="S162" s="248">
        <v>0.0</v>
      </c>
      <c r="T162" s="147" t="s">
        <v>212</v>
      </c>
      <c r="U162" s="194" t="s">
        <v>1248</v>
      </c>
      <c r="V162" s="202" t="s">
        <v>1249</v>
      </c>
      <c r="W162" s="191" t="s">
        <v>551</v>
      </c>
      <c r="X162" s="191" t="s">
        <v>1250</v>
      </c>
      <c r="Y162" s="191" t="s">
        <v>1217</v>
      </c>
      <c r="Z162" s="191" t="s">
        <v>557</v>
      </c>
      <c r="AA162" s="191" t="s">
        <v>11</v>
      </c>
      <c r="AB162" s="191" t="s">
        <v>1251</v>
      </c>
      <c r="AC162" s="191">
        <v>1.0</v>
      </c>
      <c r="AD162" s="191">
        <v>2.0</v>
      </c>
      <c r="AE162" s="191">
        <v>1.0</v>
      </c>
      <c r="AF162" s="191">
        <v>1.0</v>
      </c>
    </row>
    <row r="163">
      <c r="A163" s="277">
        <v>498.0</v>
      </c>
      <c r="B163" s="248" t="s">
        <v>52</v>
      </c>
      <c r="C163" s="171" t="s">
        <v>365</v>
      </c>
      <c r="D163" s="191" t="s">
        <v>28</v>
      </c>
      <c r="E163" s="248">
        <v>3475.0</v>
      </c>
      <c r="F163" s="248">
        <v>159.0</v>
      </c>
      <c r="G163" s="248">
        <v>265.0</v>
      </c>
      <c r="H163" s="248">
        <v>0.0</v>
      </c>
      <c r="I163" s="248">
        <v>299.0</v>
      </c>
      <c r="J163" s="248">
        <v>193.0</v>
      </c>
      <c r="K163" s="248">
        <v>120.0</v>
      </c>
      <c r="L163" s="248" t="s">
        <v>29</v>
      </c>
      <c r="M163" s="248">
        <v>35.0</v>
      </c>
      <c r="N163" s="262">
        <v>156.0</v>
      </c>
      <c r="O163" s="262">
        <v>65.0</v>
      </c>
      <c r="P163" s="248">
        <v>130.0</v>
      </c>
      <c r="Q163" s="248">
        <v>10.0</v>
      </c>
      <c r="R163" s="248">
        <v>0.0</v>
      </c>
      <c r="S163" s="248">
        <v>0.0</v>
      </c>
      <c r="T163" s="147" t="s">
        <v>212</v>
      </c>
      <c r="U163" s="193" t="s">
        <v>1086</v>
      </c>
      <c r="V163" s="181" t="s">
        <v>1087</v>
      </c>
      <c r="W163" s="191" t="s">
        <v>551</v>
      </c>
      <c r="X163" s="191" t="s">
        <v>879</v>
      </c>
      <c r="Y163" s="191" t="s">
        <v>52</v>
      </c>
      <c r="Z163" s="191" t="s">
        <v>557</v>
      </c>
      <c r="AA163" s="191" t="s">
        <v>11</v>
      </c>
      <c r="AB163" s="191" t="s">
        <v>880</v>
      </c>
      <c r="AC163" s="191">
        <v>1.0</v>
      </c>
      <c r="AD163" s="191">
        <v>2.0</v>
      </c>
      <c r="AE163" s="191">
        <v>1.0</v>
      </c>
      <c r="AF163" s="191">
        <v>1.0</v>
      </c>
    </row>
    <row r="164">
      <c r="A164" s="277">
        <v>501.0</v>
      </c>
      <c r="B164" s="248" t="s">
        <v>52</v>
      </c>
      <c r="C164" s="171" t="s">
        <v>370</v>
      </c>
      <c r="D164" s="191" t="s">
        <v>32</v>
      </c>
      <c r="E164" s="248">
        <v>4460.0</v>
      </c>
      <c r="F164" s="248">
        <v>161.0</v>
      </c>
      <c r="G164" s="248">
        <v>324.0</v>
      </c>
      <c r="H164" s="248">
        <v>0.0</v>
      </c>
      <c r="I164" s="248">
        <v>379.0</v>
      </c>
      <c r="J164" s="248">
        <v>183.0</v>
      </c>
      <c r="K164" s="248">
        <v>113.0</v>
      </c>
      <c r="L164" s="248" t="s">
        <v>29</v>
      </c>
      <c r="M164" s="248">
        <v>35.0</v>
      </c>
      <c r="N164" s="262">
        <v>177.0</v>
      </c>
      <c r="O164" s="262">
        <v>85.0</v>
      </c>
      <c r="P164" s="248">
        <v>99.0</v>
      </c>
      <c r="Q164" s="248">
        <v>11.0</v>
      </c>
      <c r="R164" s="248">
        <v>0.0</v>
      </c>
      <c r="S164" s="248">
        <v>0.0</v>
      </c>
      <c r="T164" s="147" t="s">
        <v>269</v>
      </c>
      <c r="U164" s="193" t="s">
        <v>1088</v>
      </c>
      <c r="V164" s="202" t="s">
        <v>1089</v>
      </c>
      <c r="W164" s="194" t="s">
        <v>1090</v>
      </c>
      <c r="X164" s="170" t="s">
        <v>1091</v>
      </c>
      <c r="Y164" s="191" t="s">
        <v>52</v>
      </c>
      <c r="Z164" s="191" t="s">
        <v>557</v>
      </c>
      <c r="AA164" s="191" t="s">
        <v>11</v>
      </c>
      <c r="AB164" s="191" t="s">
        <v>1092</v>
      </c>
      <c r="AC164" s="191">
        <v>1.0</v>
      </c>
      <c r="AD164" s="191">
        <v>2.0</v>
      </c>
      <c r="AE164" s="191">
        <v>1.0</v>
      </c>
      <c r="AF164" s="191">
        <v>1.0</v>
      </c>
    </row>
    <row r="165">
      <c r="A165" s="277">
        <v>512.0</v>
      </c>
      <c r="B165" s="248" t="s">
        <v>66</v>
      </c>
      <c r="C165" s="171" t="s">
        <v>384</v>
      </c>
      <c r="D165" s="191" t="s">
        <v>32</v>
      </c>
      <c r="E165" s="248">
        <v>4943.0</v>
      </c>
      <c r="F165" s="248">
        <v>259.0</v>
      </c>
      <c r="G165" s="248">
        <v>0.0</v>
      </c>
      <c r="H165" s="248">
        <v>0.0</v>
      </c>
      <c r="I165" s="248">
        <v>231.0</v>
      </c>
      <c r="J165" s="248">
        <v>182.0</v>
      </c>
      <c r="K165" s="248">
        <v>71.0</v>
      </c>
      <c r="L165" s="248" t="s">
        <v>71</v>
      </c>
      <c r="M165" s="248">
        <v>26.0</v>
      </c>
      <c r="N165" s="262">
        <v>139.0</v>
      </c>
      <c r="O165" s="262">
        <v>75.0</v>
      </c>
      <c r="P165" s="248">
        <v>0.0</v>
      </c>
      <c r="Q165" s="248">
        <v>12.0</v>
      </c>
      <c r="R165" s="248">
        <v>0.0</v>
      </c>
      <c r="S165" s="248">
        <v>0.0</v>
      </c>
      <c r="T165" s="147" t="s">
        <v>37</v>
      </c>
      <c r="U165" s="193" t="s">
        <v>1252</v>
      </c>
      <c r="V165" s="202" t="s">
        <v>1253</v>
      </c>
      <c r="W165" s="191" t="s">
        <v>551</v>
      </c>
      <c r="X165" s="191" t="s">
        <v>1254</v>
      </c>
      <c r="Y165" s="191" t="s">
        <v>66</v>
      </c>
      <c r="Z165" s="191" t="s">
        <v>27</v>
      </c>
      <c r="AA165" s="191" t="s">
        <v>11</v>
      </c>
      <c r="AB165" s="191" t="s">
        <v>1255</v>
      </c>
      <c r="AC165" s="191">
        <v>2.0</v>
      </c>
      <c r="AD165" s="191">
        <v>0.0</v>
      </c>
      <c r="AE165" s="191">
        <v>0.0</v>
      </c>
      <c r="AF165" s="191">
        <v>1.0</v>
      </c>
    </row>
    <row r="166">
      <c r="A166" s="277">
        <v>514.0</v>
      </c>
      <c r="B166" s="248" t="s">
        <v>52</v>
      </c>
      <c r="C166" s="171" t="s">
        <v>386</v>
      </c>
      <c r="D166" s="191" t="s">
        <v>28</v>
      </c>
      <c r="E166" s="248">
        <v>3644.0</v>
      </c>
      <c r="F166" s="248">
        <v>167.0</v>
      </c>
      <c r="G166" s="248">
        <v>0.0</v>
      </c>
      <c r="H166" s="248">
        <v>0.0</v>
      </c>
      <c r="I166" s="248">
        <v>334.0</v>
      </c>
      <c r="J166" s="248">
        <v>191.0</v>
      </c>
      <c r="K166" s="248">
        <v>106.0</v>
      </c>
      <c r="L166" s="248" t="s">
        <v>29</v>
      </c>
      <c r="M166" s="248">
        <v>32.0</v>
      </c>
      <c r="N166" s="262">
        <v>168.0</v>
      </c>
      <c r="O166" s="262">
        <v>70.0</v>
      </c>
      <c r="P166" s="248">
        <v>102.0</v>
      </c>
      <c r="Q166" s="248">
        <v>10.0</v>
      </c>
      <c r="R166" s="248">
        <v>0.0</v>
      </c>
      <c r="S166" s="248">
        <v>0.0</v>
      </c>
      <c r="T166" s="147" t="s">
        <v>37</v>
      </c>
      <c r="U166" s="193" t="s">
        <v>1093</v>
      </c>
      <c r="V166" s="202" t="s">
        <v>1094</v>
      </c>
      <c r="W166" s="191" t="s">
        <v>551</v>
      </c>
      <c r="X166" s="191" t="s">
        <v>882</v>
      </c>
      <c r="Y166" s="191" t="s">
        <v>52</v>
      </c>
      <c r="Z166" s="191" t="s">
        <v>27</v>
      </c>
      <c r="AA166" s="191" t="s">
        <v>11</v>
      </c>
      <c r="AB166" s="191" t="s">
        <v>1095</v>
      </c>
      <c r="AC166" s="191">
        <v>2.0</v>
      </c>
      <c r="AD166" s="191">
        <v>0.0</v>
      </c>
      <c r="AE166" s="191">
        <v>0.0</v>
      </c>
      <c r="AF166" s="191">
        <v>1.0</v>
      </c>
    </row>
    <row r="167">
      <c r="A167" s="277" t="s">
        <v>401</v>
      </c>
      <c r="B167" s="248" t="s">
        <v>52</v>
      </c>
      <c r="C167" s="171" t="s">
        <v>402</v>
      </c>
      <c r="D167" s="191" t="s">
        <v>32</v>
      </c>
      <c r="E167" s="248">
        <v>4246.0</v>
      </c>
      <c r="F167" s="248">
        <v>177.0</v>
      </c>
      <c r="G167" s="248">
        <v>0.0</v>
      </c>
      <c r="H167" s="248">
        <v>0.0</v>
      </c>
      <c r="I167" s="248">
        <v>419.0</v>
      </c>
      <c r="J167" s="248">
        <v>198.0</v>
      </c>
      <c r="K167" s="248">
        <v>97.0</v>
      </c>
      <c r="L167" s="248" t="s">
        <v>29</v>
      </c>
      <c r="M167" s="248">
        <v>33.0</v>
      </c>
      <c r="N167" s="262">
        <v>187.0</v>
      </c>
      <c r="O167" s="262">
        <v>33.0</v>
      </c>
      <c r="P167" s="248">
        <v>158.0</v>
      </c>
      <c r="Q167" s="248">
        <v>12.0</v>
      </c>
      <c r="R167" s="248">
        <v>0.0</v>
      </c>
      <c r="S167" s="248">
        <v>0.0</v>
      </c>
      <c r="T167" s="147" t="s">
        <v>397</v>
      </c>
      <c r="U167" s="193" t="s">
        <v>1096</v>
      </c>
      <c r="V167" s="202" t="s">
        <v>1097</v>
      </c>
      <c r="W167" s="194" t="s">
        <v>1098</v>
      </c>
      <c r="X167" s="202" t="s">
        <v>1099</v>
      </c>
      <c r="Y167" s="191" t="s">
        <v>52</v>
      </c>
      <c r="Z167" s="191" t="s">
        <v>27</v>
      </c>
      <c r="AA167" s="191" t="s">
        <v>11</v>
      </c>
      <c r="AB167" s="191" t="s">
        <v>883</v>
      </c>
      <c r="AC167" s="191">
        <v>2.0</v>
      </c>
      <c r="AD167" s="191">
        <v>0.0</v>
      </c>
      <c r="AE167" s="191">
        <v>0.0</v>
      </c>
      <c r="AF167" s="191">
        <v>1.0</v>
      </c>
    </row>
    <row r="168">
      <c r="A168" s="156" t="s">
        <v>408</v>
      </c>
      <c r="B168" s="159" t="s">
        <v>52</v>
      </c>
      <c r="C168" s="157" t="str">
        <f>HYPERLINK("https://azurlane.koumakan.jp/HDN_Neptune","Neptune (Neptunia)")</f>
        <v>Neptune (Neptunia)</v>
      </c>
      <c r="D168" s="185" t="s">
        <v>28</v>
      </c>
      <c r="E168" s="144">
        <v>3509.0</v>
      </c>
      <c r="F168" s="144">
        <v>154.0</v>
      </c>
      <c r="G168" s="144">
        <v>293.0</v>
      </c>
      <c r="H168" s="144">
        <v>0.0</v>
      </c>
      <c r="I168" s="144">
        <v>308.0</v>
      </c>
      <c r="J168" s="144">
        <v>174.0</v>
      </c>
      <c r="K168" s="144">
        <v>118.0</v>
      </c>
      <c r="L168" s="144" t="s">
        <v>29</v>
      </c>
      <c r="M168" s="144">
        <v>31.0</v>
      </c>
      <c r="N168" s="145">
        <v>162.0</v>
      </c>
      <c r="O168" s="145">
        <v>73.0</v>
      </c>
      <c r="P168" s="144">
        <v>123.0</v>
      </c>
      <c r="Q168" s="144">
        <v>10.0</v>
      </c>
      <c r="R168" s="144">
        <v>0.0</v>
      </c>
      <c r="S168" s="144">
        <v>0.0</v>
      </c>
      <c r="T168" s="147" t="s">
        <v>409</v>
      </c>
      <c r="U168" s="206" t="s">
        <v>1100</v>
      </c>
      <c r="V168" s="159" t="s">
        <v>551</v>
      </c>
      <c r="W168" s="159" t="s">
        <v>551</v>
      </c>
      <c r="X168" s="159" t="s">
        <v>551</v>
      </c>
      <c r="Y168" s="160" t="s">
        <v>52</v>
      </c>
      <c r="Z168" s="160" t="s">
        <v>557</v>
      </c>
      <c r="AA168" s="160" t="s">
        <v>11</v>
      </c>
      <c r="AB168" s="160" t="s">
        <v>997</v>
      </c>
      <c r="AC168" s="160">
        <v>1.0</v>
      </c>
      <c r="AD168" s="160">
        <v>2.0</v>
      </c>
      <c r="AE168" s="160">
        <v>1.0</v>
      </c>
      <c r="AF168" s="160">
        <v>1.0</v>
      </c>
    </row>
    <row r="169">
      <c r="A169" s="156" t="s">
        <v>411</v>
      </c>
      <c r="B169" s="159" t="s">
        <v>66</v>
      </c>
      <c r="C169" s="276" t="str">
        <f>HYPERLINK("https://azurlane.koumakan.jp/Noire","Noire")</f>
        <v>Noire</v>
      </c>
      <c r="D169" s="185" t="s">
        <v>28</v>
      </c>
      <c r="E169" s="165">
        <v>3916.0</v>
      </c>
      <c r="F169" s="165">
        <v>240.0</v>
      </c>
      <c r="G169" s="165">
        <v>202.0</v>
      </c>
      <c r="H169" s="165">
        <v>0.0</v>
      </c>
      <c r="I169" s="165">
        <v>181.0</v>
      </c>
      <c r="J169" s="165">
        <v>167.0</v>
      </c>
      <c r="K169" s="165">
        <v>68.0</v>
      </c>
      <c r="L169" s="165" t="s">
        <v>71</v>
      </c>
      <c r="M169" s="165">
        <v>27.0</v>
      </c>
      <c r="N169" s="145">
        <v>131.0</v>
      </c>
      <c r="O169" s="145">
        <v>83.0</v>
      </c>
      <c r="P169" s="165">
        <v>0.0</v>
      </c>
      <c r="Q169" s="165">
        <v>11.0</v>
      </c>
      <c r="R169" s="165">
        <v>0.0</v>
      </c>
      <c r="S169" s="165">
        <v>0.0</v>
      </c>
      <c r="T169" s="147" t="s">
        <v>409</v>
      </c>
      <c r="U169" s="188" t="s">
        <v>1256</v>
      </c>
      <c r="V169" s="159" t="s">
        <v>551</v>
      </c>
      <c r="W169" s="159" t="s">
        <v>551</v>
      </c>
      <c r="X169" s="159" t="s">
        <v>551</v>
      </c>
      <c r="Y169" s="160" t="s">
        <v>66</v>
      </c>
      <c r="Z169" s="160" t="s">
        <v>557</v>
      </c>
      <c r="AA169" s="160" t="s">
        <v>11</v>
      </c>
      <c r="AB169" s="160" t="s">
        <v>1257</v>
      </c>
      <c r="AC169" s="160">
        <v>1.0</v>
      </c>
      <c r="AD169" s="160">
        <v>2.0</v>
      </c>
      <c r="AE169" s="160">
        <v>1.0</v>
      </c>
      <c r="AF169" s="160">
        <v>1.0</v>
      </c>
    </row>
    <row r="170">
      <c r="A170" s="156" t="s">
        <v>416</v>
      </c>
      <c r="B170" s="159" t="s">
        <v>52</v>
      </c>
      <c r="C170" s="276" t="str">
        <f>HYPERLINK("https://azurlane.koumakan.jp/Purple_Heart","Purple Heart")</f>
        <v>Purple Heart</v>
      </c>
      <c r="D170" s="185" t="s">
        <v>32</v>
      </c>
      <c r="E170" s="144">
        <v>3779.0</v>
      </c>
      <c r="F170" s="144">
        <v>168.0</v>
      </c>
      <c r="G170" s="144">
        <v>313.0</v>
      </c>
      <c r="H170" s="144">
        <v>0.0</v>
      </c>
      <c r="I170" s="144">
        <v>319.0</v>
      </c>
      <c r="J170" s="144">
        <v>181.0</v>
      </c>
      <c r="K170" s="144">
        <v>120.0</v>
      </c>
      <c r="L170" s="144" t="s">
        <v>29</v>
      </c>
      <c r="M170" s="144">
        <v>31.0</v>
      </c>
      <c r="N170" s="145">
        <v>162.0</v>
      </c>
      <c r="O170" s="145">
        <v>87.0</v>
      </c>
      <c r="P170" s="144">
        <v>130.0</v>
      </c>
      <c r="Q170" s="144">
        <v>11.0</v>
      </c>
      <c r="R170" s="144">
        <v>0.0</v>
      </c>
      <c r="S170" s="144">
        <v>0.0</v>
      </c>
      <c r="T170" s="147" t="s">
        <v>409</v>
      </c>
      <c r="U170" s="188" t="s">
        <v>1101</v>
      </c>
      <c r="V170" s="188" t="s">
        <v>1102</v>
      </c>
      <c r="W170" s="188" t="s">
        <v>1103</v>
      </c>
      <c r="X170" s="159" t="s">
        <v>551</v>
      </c>
      <c r="Y170" s="160" t="s">
        <v>52</v>
      </c>
      <c r="Z170" s="160" t="s">
        <v>557</v>
      </c>
      <c r="AA170" s="160" t="s">
        <v>11</v>
      </c>
      <c r="AB170" s="160" t="s">
        <v>1104</v>
      </c>
      <c r="AC170" s="160">
        <v>1.0</v>
      </c>
      <c r="AD170" s="160">
        <v>2.0</v>
      </c>
      <c r="AE170" s="160">
        <v>1.0</v>
      </c>
      <c r="AF170" s="160">
        <v>1.0</v>
      </c>
    </row>
    <row r="171">
      <c r="A171" s="156" t="s">
        <v>417</v>
      </c>
      <c r="B171" s="159" t="s">
        <v>66</v>
      </c>
      <c r="C171" s="276" t="str">
        <f>HYPERLINK("https://azurlane.koumakan.jp/Black_Heart","Black Heart")</f>
        <v>Black Heart</v>
      </c>
      <c r="D171" s="185" t="s">
        <v>32</v>
      </c>
      <c r="E171" s="165">
        <v>4155.0</v>
      </c>
      <c r="F171" s="165">
        <v>253.0</v>
      </c>
      <c r="G171" s="165">
        <v>221.0</v>
      </c>
      <c r="H171" s="165">
        <v>0.0</v>
      </c>
      <c r="I171" s="165">
        <v>197.0</v>
      </c>
      <c r="J171" s="165">
        <v>171.0</v>
      </c>
      <c r="K171" s="165">
        <v>70.0</v>
      </c>
      <c r="L171" s="165" t="s">
        <v>71</v>
      </c>
      <c r="M171" s="165">
        <v>27.0</v>
      </c>
      <c r="N171" s="145">
        <v>131.0</v>
      </c>
      <c r="O171" s="145">
        <v>83.0</v>
      </c>
      <c r="P171" s="165">
        <v>0.0</v>
      </c>
      <c r="Q171" s="165">
        <v>12.0</v>
      </c>
      <c r="R171" s="165">
        <v>0.0</v>
      </c>
      <c r="S171" s="165">
        <v>0.0</v>
      </c>
      <c r="T171" s="147" t="s">
        <v>409</v>
      </c>
      <c r="U171" s="206" t="s">
        <v>1258</v>
      </c>
      <c r="V171" s="188" t="s">
        <v>1259</v>
      </c>
      <c r="W171" s="159" t="s">
        <v>551</v>
      </c>
      <c r="X171" s="159" t="s">
        <v>551</v>
      </c>
      <c r="Y171" s="160" t="s">
        <v>66</v>
      </c>
      <c r="Z171" s="160" t="s">
        <v>557</v>
      </c>
      <c r="AA171" s="160" t="s">
        <v>11</v>
      </c>
      <c r="AB171" s="160" t="s">
        <v>1260</v>
      </c>
      <c r="AC171" s="160">
        <v>1.0</v>
      </c>
      <c r="AD171" s="160">
        <v>2.0</v>
      </c>
      <c r="AE171" s="160">
        <v>1.0</v>
      </c>
      <c r="AF171" s="160">
        <v>1.0</v>
      </c>
    </row>
    <row r="172">
      <c r="A172" s="156" t="s">
        <v>423</v>
      </c>
      <c r="B172" s="159" t="s">
        <v>66</v>
      </c>
      <c r="C172" s="276" t="str">
        <f>HYPERLINK("https://azurlane.koumakan.jp/Elegant_Kizuna_AI","Elegant Kizuna Ai")</f>
        <v>Elegant Kizuna Ai</v>
      </c>
      <c r="D172" s="185" t="s">
        <v>32</v>
      </c>
      <c r="E172" s="144">
        <v>5141.0</v>
      </c>
      <c r="F172" s="144">
        <v>259.0</v>
      </c>
      <c r="G172" s="144">
        <v>0.0</v>
      </c>
      <c r="H172" s="144">
        <v>0.0</v>
      </c>
      <c r="I172" s="144">
        <v>229.0</v>
      </c>
      <c r="J172" s="144">
        <v>177.0</v>
      </c>
      <c r="K172" s="144">
        <v>56.0</v>
      </c>
      <c r="L172" s="144" t="s">
        <v>71</v>
      </c>
      <c r="M172" s="144">
        <v>28.0</v>
      </c>
      <c r="N172" s="158">
        <v>138.0</v>
      </c>
      <c r="O172" s="158">
        <v>66.0</v>
      </c>
      <c r="P172" s="144">
        <v>0.0</v>
      </c>
      <c r="Q172" s="144">
        <v>12.0</v>
      </c>
      <c r="R172" s="144">
        <v>0.0</v>
      </c>
      <c r="S172" s="144">
        <v>0.0</v>
      </c>
      <c r="T172" s="147" t="s">
        <v>421</v>
      </c>
      <c r="U172" s="206" t="s">
        <v>1261</v>
      </c>
      <c r="V172" s="190" t="s">
        <v>1262</v>
      </c>
      <c r="W172" s="159" t="s">
        <v>551</v>
      </c>
      <c r="X172" s="159" t="s">
        <v>551</v>
      </c>
      <c r="Y172" s="160" t="s">
        <v>66</v>
      </c>
      <c r="Z172" s="160" t="s">
        <v>27</v>
      </c>
      <c r="AA172" s="160" t="s">
        <v>11</v>
      </c>
      <c r="AB172" s="160" t="s">
        <v>1263</v>
      </c>
      <c r="AC172" s="160">
        <v>2.0</v>
      </c>
      <c r="AD172" s="160">
        <v>0.0</v>
      </c>
      <c r="AE172" s="160">
        <v>0.0</v>
      </c>
      <c r="AF172" s="160">
        <v>1.0</v>
      </c>
    </row>
    <row r="173">
      <c r="A173" s="182" t="s">
        <v>435</v>
      </c>
      <c r="B173" s="196" t="s">
        <v>66</v>
      </c>
      <c r="C173" s="264" t="str">
        <f>HYPERLINK("https://azurlane.koumakan.jp/Nakiri_Ayame","Nakiri Ayame")</f>
        <v>Nakiri Ayame</v>
      </c>
      <c r="D173" s="191" t="s">
        <v>28</v>
      </c>
      <c r="E173" s="191">
        <v>4269.0</v>
      </c>
      <c r="F173" s="191">
        <v>237.0</v>
      </c>
      <c r="G173" s="191">
        <v>0.0</v>
      </c>
      <c r="H173" s="191">
        <v>0.0</v>
      </c>
      <c r="I173" s="191">
        <v>201.0</v>
      </c>
      <c r="J173" s="191">
        <v>176.0</v>
      </c>
      <c r="K173" s="191">
        <v>51.0</v>
      </c>
      <c r="L173" s="191" t="s">
        <v>29</v>
      </c>
      <c r="M173" s="191">
        <v>26.0</v>
      </c>
      <c r="N173" s="170">
        <v>112.0</v>
      </c>
      <c r="O173" s="170">
        <v>65.0</v>
      </c>
      <c r="P173" s="191">
        <v>0.0</v>
      </c>
      <c r="Q173" s="191">
        <v>11.0</v>
      </c>
      <c r="R173" s="191">
        <v>0.0</v>
      </c>
      <c r="S173" s="191">
        <v>0.0</v>
      </c>
      <c r="T173" s="170" t="s">
        <v>429</v>
      </c>
      <c r="U173" s="202" t="s">
        <v>1264</v>
      </c>
      <c r="V173" s="193" t="s">
        <v>1265</v>
      </c>
      <c r="W173" s="191" t="s">
        <v>551</v>
      </c>
      <c r="X173" s="191" t="s">
        <v>551</v>
      </c>
      <c r="Y173" s="191" t="s">
        <v>66</v>
      </c>
      <c r="Z173" s="191" t="s">
        <v>27</v>
      </c>
      <c r="AA173" s="191" t="s">
        <v>11</v>
      </c>
      <c r="AB173" s="191" t="s">
        <v>1266</v>
      </c>
      <c r="AC173" s="191">
        <v>2.0</v>
      </c>
      <c r="AD173" s="191">
        <v>0.0</v>
      </c>
      <c r="AE173" s="191">
        <v>0.0</v>
      </c>
      <c r="AF173" s="191">
        <v>1.0</v>
      </c>
    </row>
    <row r="174">
      <c r="A174" s="277" t="s">
        <v>445</v>
      </c>
      <c r="B174" s="248" t="s">
        <v>66</v>
      </c>
      <c r="C174" s="152" t="s">
        <v>446</v>
      </c>
      <c r="D174" s="191" t="s">
        <v>32</v>
      </c>
      <c r="E174" s="248">
        <v>4964.0</v>
      </c>
      <c r="F174" s="248">
        <v>267.0</v>
      </c>
      <c r="G174" s="248">
        <v>219.0</v>
      </c>
      <c r="H174" s="248">
        <v>0.0</v>
      </c>
      <c r="I174" s="248">
        <v>229.0</v>
      </c>
      <c r="J174" s="248">
        <v>177.0</v>
      </c>
      <c r="K174" s="248">
        <v>97.0</v>
      </c>
      <c r="L174" s="248" t="s">
        <v>71</v>
      </c>
      <c r="M174" s="248">
        <v>28.0</v>
      </c>
      <c r="N174" s="262">
        <v>137.0</v>
      </c>
      <c r="O174" s="262">
        <v>85.0</v>
      </c>
      <c r="P174" s="248">
        <v>0.0</v>
      </c>
      <c r="Q174" s="248">
        <v>12.0</v>
      </c>
      <c r="R174" s="248">
        <v>0.0</v>
      </c>
      <c r="S174" s="248">
        <v>0.0</v>
      </c>
      <c r="T174" s="170" t="s">
        <v>441</v>
      </c>
      <c r="U174" s="193" t="s">
        <v>1267</v>
      </c>
      <c r="V174" s="202" t="s">
        <v>1268</v>
      </c>
      <c r="W174" s="191" t="s">
        <v>551</v>
      </c>
      <c r="X174" s="191" t="s">
        <v>551</v>
      </c>
      <c r="Y174" s="191" t="s">
        <v>66</v>
      </c>
      <c r="Z174" s="191" t="s">
        <v>557</v>
      </c>
      <c r="AA174" s="191" t="s">
        <v>11</v>
      </c>
      <c r="AB174" s="191" t="s">
        <v>1269</v>
      </c>
      <c r="AC174" s="191">
        <v>1.0</v>
      </c>
      <c r="AD174" s="191">
        <v>2.0</v>
      </c>
      <c r="AE174" s="191">
        <v>1.0</v>
      </c>
      <c r="AF174" s="191">
        <v>1.0</v>
      </c>
    </row>
    <row r="175">
      <c r="A175" s="277" t="s">
        <v>447</v>
      </c>
      <c r="B175" s="248" t="s">
        <v>52</v>
      </c>
      <c r="C175" s="152" t="s">
        <v>448</v>
      </c>
      <c r="D175" s="191" t="s">
        <v>32</v>
      </c>
      <c r="E175" s="248">
        <v>3971.0</v>
      </c>
      <c r="F175" s="248">
        <v>170.0</v>
      </c>
      <c r="G175" s="248">
        <v>0.0</v>
      </c>
      <c r="H175" s="248">
        <v>0.0</v>
      </c>
      <c r="I175" s="248">
        <v>333.0</v>
      </c>
      <c r="J175" s="248">
        <v>197.0</v>
      </c>
      <c r="K175" s="248">
        <v>109.0</v>
      </c>
      <c r="L175" s="248" t="s">
        <v>29</v>
      </c>
      <c r="M175" s="248">
        <v>33.0</v>
      </c>
      <c r="N175" s="262">
        <v>167.0</v>
      </c>
      <c r="O175" s="262">
        <v>89.0</v>
      </c>
      <c r="P175" s="248">
        <v>156.0</v>
      </c>
      <c r="Q175" s="248">
        <v>11.0</v>
      </c>
      <c r="R175" s="248">
        <v>0.0</v>
      </c>
      <c r="S175" s="248">
        <v>0.0</v>
      </c>
      <c r="T175" s="147" t="s">
        <v>441</v>
      </c>
      <c r="U175" s="202" t="s">
        <v>1105</v>
      </c>
      <c r="V175" s="193" t="s">
        <v>1106</v>
      </c>
      <c r="W175" s="191" t="s">
        <v>551</v>
      </c>
      <c r="X175" s="191" t="s">
        <v>551</v>
      </c>
      <c r="Y175" s="191" t="s">
        <v>52</v>
      </c>
      <c r="Z175" s="191" t="s">
        <v>27</v>
      </c>
      <c r="AA175" s="191" t="s">
        <v>11</v>
      </c>
      <c r="AB175" s="191" t="s">
        <v>1107</v>
      </c>
      <c r="AC175" s="191">
        <v>2.0</v>
      </c>
      <c r="AD175" s="191">
        <v>0.0</v>
      </c>
      <c r="AE175" s="191">
        <v>0.0</v>
      </c>
      <c r="AF175" s="191">
        <v>1.0</v>
      </c>
    </row>
    <row r="176">
      <c r="A176" s="277" t="s">
        <v>455</v>
      </c>
      <c r="B176" s="248" t="s">
        <v>52</v>
      </c>
      <c r="C176" s="152" t="s">
        <v>456</v>
      </c>
      <c r="D176" s="191" t="s">
        <v>28</v>
      </c>
      <c r="E176" s="248">
        <v>3861.0</v>
      </c>
      <c r="F176" s="248">
        <v>150.0</v>
      </c>
      <c r="G176" s="248">
        <v>296.0</v>
      </c>
      <c r="H176" s="248">
        <v>0.0</v>
      </c>
      <c r="I176" s="248">
        <v>363.0</v>
      </c>
      <c r="J176" s="248">
        <v>184.0</v>
      </c>
      <c r="K176" s="248">
        <v>118.0</v>
      </c>
      <c r="L176" s="248" t="s">
        <v>29</v>
      </c>
      <c r="M176" s="248">
        <v>32.0</v>
      </c>
      <c r="N176" s="262">
        <v>164.0</v>
      </c>
      <c r="O176" s="262">
        <v>88.0</v>
      </c>
      <c r="P176" s="248">
        <v>88.0</v>
      </c>
      <c r="Q176" s="248">
        <v>10.0</v>
      </c>
      <c r="R176" s="248">
        <v>0.0</v>
      </c>
      <c r="S176" s="248">
        <v>0.0</v>
      </c>
      <c r="T176" s="147" t="s">
        <v>441</v>
      </c>
      <c r="U176" s="193" t="s">
        <v>1108</v>
      </c>
      <c r="V176" s="202" t="s">
        <v>1109</v>
      </c>
      <c r="W176" s="191" t="s">
        <v>551</v>
      </c>
      <c r="X176" s="191" t="s">
        <v>551</v>
      </c>
      <c r="Y176" s="191" t="s">
        <v>52</v>
      </c>
      <c r="Z176" s="191" t="s">
        <v>557</v>
      </c>
      <c r="AA176" s="191" t="s">
        <v>11</v>
      </c>
      <c r="AB176" s="191" t="s">
        <v>1110</v>
      </c>
      <c r="AC176" s="191">
        <v>1.0</v>
      </c>
      <c r="AD176" s="191">
        <v>2.0</v>
      </c>
      <c r="AE176" s="191">
        <v>1.0</v>
      </c>
      <c r="AF176" s="191">
        <v>1.0</v>
      </c>
    </row>
    <row r="177">
      <c r="A177" s="277" t="s">
        <v>457</v>
      </c>
      <c r="B177" s="248" t="s">
        <v>52</v>
      </c>
      <c r="C177" s="171" t="s">
        <v>458</v>
      </c>
      <c r="D177" s="191" t="s">
        <v>32</v>
      </c>
      <c r="E177" s="248">
        <v>4114.0</v>
      </c>
      <c r="F177" s="248">
        <v>165.0</v>
      </c>
      <c r="G177" s="248">
        <v>365.0</v>
      </c>
      <c r="H177" s="248">
        <v>0.0</v>
      </c>
      <c r="I177" s="248">
        <v>366.0</v>
      </c>
      <c r="J177" s="248">
        <v>195.0</v>
      </c>
      <c r="K177" s="191">
        <v>113.0</v>
      </c>
      <c r="L177" s="248" t="s">
        <v>29</v>
      </c>
      <c r="M177" s="248">
        <v>32.0</v>
      </c>
      <c r="N177" s="262">
        <v>165.0</v>
      </c>
      <c r="O177" s="262">
        <v>83.0</v>
      </c>
      <c r="P177" s="248">
        <v>149.0</v>
      </c>
      <c r="Q177" s="248">
        <v>11.0</v>
      </c>
      <c r="R177" s="248">
        <v>0.0</v>
      </c>
      <c r="S177" s="248">
        <v>0.0</v>
      </c>
      <c r="T177" s="147" t="s">
        <v>459</v>
      </c>
      <c r="U177" s="193" t="s">
        <v>1111</v>
      </c>
      <c r="V177" s="202" t="s">
        <v>1112</v>
      </c>
      <c r="W177" s="193" t="s">
        <v>1113</v>
      </c>
      <c r="X177" s="191" t="s">
        <v>551</v>
      </c>
      <c r="Y177" s="191" t="s">
        <v>52</v>
      </c>
      <c r="Z177" s="191" t="s">
        <v>557</v>
      </c>
      <c r="AA177" s="191" t="s">
        <v>11</v>
      </c>
      <c r="AB177" s="191" t="s">
        <v>1029</v>
      </c>
      <c r="AC177" s="191">
        <v>1.0</v>
      </c>
      <c r="AD177" s="191">
        <v>2.0</v>
      </c>
      <c r="AE177" s="191">
        <v>1.0</v>
      </c>
      <c r="AF177" s="191">
        <v>1.0</v>
      </c>
    </row>
    <row r="178">
      <c r="A178" s="277" t="s">
        <v>464</v>
      </c>
      <c r="B178" s="248" t="s">
        <v>66</v>
      </c>
      <c r="C178" s="171" t="s">
        <v>465</v>
      </c>
      <c r="D178" s="191" t="s">
        <v>32</v>
      </c>
      <c r="E178" s="248">
        <v>5361.0</v>
      </c>
      <c r="F178" s="248">
        <v>243.0</v>
      </c>
      <c r="G178" s="248">
        <v>0.0</v>
      </c>
      <c r="H178" s="248">
        <v>0.0</v>
      </c>
      <c r="I178" s="248">
        <v>215.0</v>
      </c>
      <c r="J178" s="248">
        <v>177.0</v>
      </c>
      <c r="K178" s="248">
        <v>67.0</v>
      </c>
      <c r="L178" s="248" t="s">
        <v>71</v>
      </c>
      <c r="M178" s="248">
        <v>26.0</v>
      </c>
      <c r="N178" s="262">
        <v>134.0</v>
      </c>
      <c r="O178" s="262">
        <v>91.0</v>
      </c>
      <c r="P178" s="248">
        <v>0.0</v>
      </c>
      <c r="Q178" s="248">
        <v>12.0</v>
      </c>
      <c r="R178" s="248">
        <v>0.0</v>
      </c>
      <c r="S178" s="248">
        <v>0.0</v>
      </c>
      <c r="T178" s="147" t="s">
        <v>459</v>
      </c>
      <c r="U178" s="193" t="s">
        <v>1270</v>
      </c>
      <c r="V178" s="194" t="s">
        <v>1271</v>
      </c>
      <c r="W178" s="193" t="s">
        <v>1272</v>
      </c>
      <c r="X178" s="191" t="s">
        <v>551</v>
      </c>
      <c r="Y178" s="191" t="s">
        <v>66</v>
      </c>
      <c r="Z178" s="191" t="s">
        <v>27</v>
      </c>
      <c r="AA178" s="191" t="s">
        <v>11</v>
      </c>
      <c r="AB178" s="191" t="s">
        <v>1273</v>
      </c>
      <c r="AC178" s="191">
        <v>2.0</v>
      </c>
      <c r="AD178" s="191">
        <v>0.0</v>
      </c>
      <c r="AE178" s="191">
        <v>0.0</v>
      </c>
      <c r="AF178" s="191">
        <v>1.0</v>
      </c>
    </row>
    <row r="179">
      <c r="A179" s="156" t="s">
        <v>472</v>
      </c>
      <c r="B179" s="159" t="s">
        <v>52</v>
      </c>
      <c r="C179" s="157" t="str">
        <f>HYPERLINK("https://azurlane.koumakan.jp/HMS_Neptune","Neptune")</f>
        <v>Neptune</v>
      </c>
      <c r="D179" s="185" t="s">
        <v>473</v>
      </c>
      <c r="E179" s="144">
        <v>4742.0</v>
      </c>
      <c r="F179" s="144">
        <v>175.0</v>
      </c>
      <c r="G179" s="144">
        <v>359.0</v>
      </c>
      <c r="H179" s="144">
        <v>0.0</v>
      </c>
      <c r="I179" s="144">
        <v>371.0</v>
      </c>
      <c r="J179" s="144">
        <v>166.0</v>
      </c>
      <c r="K179" s="144">
        <v>100.0</v>
      </c>
      <c r="L179" s="144" t="s">
        <v>29</v>
      </c>
      <c r="M179" s="144">
        <v>33.0</v>
      </c>
      <c r="N179" s="145">
        <v>162.0</v>
      </c>
      <c r="O179" s="145">
        <v>15.0</v>
      </c>
      <c r="P179" s="144">
        <v>155.0</v>
      </c>
      <c r="Q179" s="144">
        <v>12.0</v>
      </c>
      <c r="R179" s="144">
        <v>0.0</v>
      </c>
      <c r="S179" s="144">
        <v>0.0</v>
      </c>
      <c r="T179" s="147" t="s">
        <v>104</v>
      </c>
      <c r="U179" s="188" t="s">
        <v>1114</v>
      </c>
      <c r="V179" s="190" t="s">
        <v>1115</v>
      </c>
      <c r="W179" s="209" t="s">
        <v>873</v>
      </c>
      <c r="X179" s="159" t="s">
        <v>1116</v>
      </c>
      <c r="Y179" s="160" t="s">
        <v>52</v>
      </c>
      <c r="Z179" s="160" t="s">
        <v>557</v>
      </c>
      <c r="AA179" s="160" t="s">
        <v>11</v>
      </c>
      <c r="AB179" s="160" t="s">
        <v>1117</v>
      </c>
      <c r="AC179" s="160">
        <v>1.0</v>
      </c>
      <c r="AD179" s="160">
        <v>2.0</v>
      </c>
      <c r="AE179" s="160">
        <v>1.0</v>
      </c>
      <c r="AF179" s="160">
        <v>1.0</v>
      </c>
    </row>
    <row r="180">
      <c r="A180" s="156" t="s">
        <v>476</v>
      </c>
      <c r="B180" s="159" t="s">
        <v>66</v>
      </c>
      <c r="C180" s="276" t="str">
        <f>HYPERLINK("https://azurlane.koumakan.jp/Ibuki","Ibuki")</f>
        <v>Ibuki</v>
      </c>
      <c r="D180" s="185" t="s">
        <v>473</v>
      </c>
      <c r="E180" s="165">
        <v>4904.0</v>
      </c>
      <c r="F180" s="165">
        <v>276.0</v>
      </c>
      <c r="G180" s="165">
        <v>295.0</v>
      </c>
      <c r="H180" s="165">
        <v>0.0</v>
      </c>
      <c r="I180" s="165">
        <v>198.0</v>
      </c>
      <c r="J180" s="165">
        <v>189.0</v>
      </c>
      <c r="K180" s="165">
        <v>89.0</v>
      </c>
      <c r="L180" s="165" t="s">
        <v>71</v>
      </c>
      <c r="M180" s="165">
        <v>28.0</v>
      </c>
      <c r="N180" s="145">
        <v>140.0</v>
      </c>
      <c r="O180" s="145">
        <v>15.0</v>
      </c>
      <c r="P180" s="165">
        <v>0.0</v>
      </c>
      <c r="Q180" s="165">
        <v>13.0</v>
      </c>
      <c r="R180" s="144">
        <v>0.0</v>
      </c>
      <c r="S180" s="144">
        <v>0.0</v>
      </c>
      <c r="T180" s="147" t="s">
        <v>143</v>
      </c>
      <c r="U180" s="188" t="s">
        <v>1274</v>
      </c>
      <c r="V180" s="188" t="s">
        <v>1275</v>
      </c>
      <c r="W180" s="209" t="s">
        <v>873</v>
      </c>
      <c r="X180" s="159" t="s">
        <v>1276</v>
      </c>
      <c r="Y180" s="160" t="s">
        <v>66</v>
      </c>
      <c r="Z180" s="160" t="s">
        <v>557</v>
      </c>
      <c r="AA180" s="160" t="s">
        <v>11</v>
      </c>
      <c r="AB180" s="160" t="s">
        <v>1277</v>
      </c>
      <c r="AC180" s="160">
        <v>1.0</v>
      </c>
      <c r="AD180" s="160">
        <v>2.0</v>
      </c>
      <c r="AE180" s="160">
        <v>2.0</v>
      </c>
      <c r="AF180" s="160">
        <v>1.0</v>
      </c>
    </row>
    <row r="181">
      <c r="A181" s="156" t="s">
        <v>478</v>
      </c>
      <c r="B181" s="159" t="s">
        <v>66</v>
      </c>
      <c r="C181" s="276" t="str">
        <f>HYPERLINK("https://azurlane.koumakan.jp/Roon","Roon")</f>
        <v>Roon</v>
      </c>
      <c r="D181" s="185" t="s">
        <v>473</v>
      </c>
      <c r="E181" s="165">
        <v>6055.0</v>
      </c>
      <c r="F181" s="165">
        <v>289.0</v>
      </c>
      <c r="G181" s="165">
        <v>220.0</v>
      </c>
      <c r="H181" s="165">
        <v>0.0</v>
      </c>
      <c r="I181" s="165">
        <v>238.0</v>
      </c>
      <c r="J181" s="165">
        <v>174.0</v>
      </c>
      <c r="K181" s="165">
        <v>80.0</v>
      </c>
      <c r="L181" s="165" t="s">
        <v>71</v>
      </c>
      <c r="M181" s="165">
        <v>26.0</v>
      </c>
      <c r="N181" s="145">
        <v>129.0</v>
      </c>
      <c r="O181" s="145">
        <v>15.0</v>
      </c>
      <c r="P181" s="144">
        <v>0.0</v>
      </c>
      <c r="Q181" s="165">
        <v>13.0</v>
      </c>
      <c r="R181" s="144">
        <v>0.0</v>
      </c>
      <c r="S181" s="144">
        <v>0.0</v>
      </c>
      <c r="T181" s="147" t="s">
        <v>193</v>
      </c>
      <c r="U181" s="188" t="s">
        <v>1278</v>
      </c>
      <c r="V181" s="190" t="s">
        <v>1279</v>
      </c>
      <c r="W181" s="209" t="s">
        <v>873</v>
      </c>
      <c r="X181" s="159" t="s">
        <v>1239</v>
      </c>
      <c r="Y181" s="160" t="s">
        <v>66</v>
      </c>
      <c r="Z181" s="160" t="s">
        <v>557</v>
      </c>
      <c r="AA181" s="160" t="s">
        <v>11</v>
      </c>
      <c r="AB181" s="160" t="s">
        <v>1126</v>
      </c>
      <c r="AC181" s="160">
        <v>2.0</v>
      </c>
      <c r="AD181" s="160">
        <v>1.0</v>
      </c>
      <c r="AE181" s="160">
        <v>0.0</v>
      </c>
      <c r="AF181" s="160">
        <v>1.0</v>
      </c>
    </row>
    <row r="182">
      <c r="A182" s="156" t="s">
        <v>479</v>
      </c>
      <c r="B182" s="159" t="s">
        <v>66</v>
      </c>
      <c r="C182" s="276" t="str">
        <f>HYPERLINK("https://azurlane.koumakan.jp/Saint_Louis","Saint Louis")</f>
        <v>Saint Louis</v>
      </c>
      <c r="D182" s="185" t="s">
        <v>473</v>
      </c>
      <c r="E182" s="165">
        <v>5485.0</v>
      </c>
      <c r="F182" s="165">
        <v>282.0</v>
      </c>
      <c r="G182" s="165">
        <v>231.0</v>
      </c>
      <c r="H182" s="165">
        <v>0.0</v>
      </c>
      <c r="I182" s="165">
        <v>253.0</v>
      </c>
      <c r="J182" s="165">
        <v>193.0</v>
      </c>
      <c r="K182" s="165">
        <v>83.0</v>
      </c>
      <c r="L182" s="165" t="s">
        <v>71</v>
      </c>
      <c r="M182" s="165">
        <v>26.0</v>
      </c>
      <c r="N182" s="145">
        <v>141.0</v>
      </c>
      <c r="O182" s="145">
        <v>15.0</v>
      </c>
      <c r="P182" s="144">
        <v>0.0</v>
      </c>
      <c r="Q182" s="165">
        <v>13.0</v>
      </c>
      <c r="R182" s="144">
        <v>0.0</v>
      </c>
      <c r="S182" s="144">
        <v>0.0</v>
      </c>
      <c r="T182" s="147" t="s">
        <v>243</v>
      </c>
      <c r="U182" s="188" t="s">
        <v>1280</v>
      </c>
      <c r="V182" s="190" t="s">
        <v>1281</v>
      </c>
      <c r="W182" s="209" t="s">
        <v>873</v>
      </c>
      <c r="X182" s="159" t="s">
        <v>1282</v>
      </c>
      <c r="Y182" s="160" t="s">
        <v>66</v>
      </c>
      <c r="Z182" s="160" t="s">
        <v>557</v>
      </c>
      <c r="AA182" s="160" t="s">
        <v>11</v>
      </c>
      <c r="AB182" s="160" t="s">
        <v>1283</v>
      </c>
      <c r="AC182" s="160">
        <v>2.0</v>
      </c>
      <c r="AD182" s="160">
        <v>1.0</v>
      </c>
      <c r="AE182" s="160">
        <v>0.0</v>
      </c>
      <c r="AF182" s="160">
        <v>1.0</v>
      </c>
    </row>
    <row r="183">
      <c r="A183" s="156" t="s">
        <v>480</v>
      </c>
      <c r="B183" s="159" t="s">
        <v>52</v>
      </c>
      <c r="C183" s="276" t="str">
        <f>HYPERLINK("https://azurlane.koumakan.jp/Seattle","Seattle")</f>
        <v>Seattle</v>
      </c>
      <c r="D183" s="185" t="s">
        <v>473</v>
      </c>
      <c r="E183" s="165">
        <v>5376.0</v>
      </c>
      <c r="F183" s="165">
        <v>182.0</v>
      </c>
      <c r="G183" s="165">
        <v>0.0</v>
      </c>
      <c r="H183" s="165">
        <v>0.0</v>
      </c>
      <c r="I183" s="165">
        <v>373.0</v>
      </c>
      <c r="J183" s="165">
        <v>158.0</v>
      </c>
      <c r="K183" s="165">
        <v>100.0</v>
      </c>
      <c r="L183" s="165" t="s">
        <v>29</v>
      </c>
      <c r="M183" s="165">
        <v>33.0</v>
      </c>
      <c r="N183" s="145">
        <v>161.0</v>
      </c>
      <c r="O183" s="145">
        <v>15.0</v>
      </c>
      <c r="P183" s="165">
        <v>157.0</v>
      </c>
      <c r="Q183" s="165">
        <v>12.0</v>
      </c>
      <c r="R183" s="165">
        <v>0.0</v>
      </c>
      <c r="S183" s="165">
        <v>0.0</v>
      </c>
      <c r="T183" s="147" t="s">
        <v>37</v>
      </c>
      <c r="U183" s="190" t="s">
        <v>1118</v>
      </c>
      <c r="V183" s="206" t="s">
        <v>1119</v>
      </c>
      <c r="W183" s="209" t="s">
        <v>873</v>
      </c>
      <c r="X183" s="159" t="s">
        <v>1120</v>
      </c>
      <c r="Y183" s="160" t="s">
        <v>52</v>
      </c>
      <c r="Z183" s="160" t="s">
        <v>1121</v>
      </c>
      <c r="AA183" s="160" t="s">
        <v>11</v>
      </c>
      <c r="AB183" s="160" t="s">
        <v>1122</v>
      </c>
      <c r="AC183" s="289">
        <v>43499.0</v>
      </c>
      <c r="AD183" s="160">
        <v>0.0</v>
      </c>
      <c r="AE183" s="160">
        <v>0.0</v>
      </c>
      <c r="AF183" s="289">
        <v>43467.0</v>
      </c>
    </row>
    <row r="184">
      <c r="A184" s="156" t="s">
        <v>483</v>
      </c>
      <c r="B184" s="159" t="s">
        <v>484</v>
      </c>
      <c r="C184" s="276" t="str">
        <f>HYPERLINK("https://azurlane.koumakan.jp/Azuma","Azuma")</f>
        <v>Azuma</v>
      </c>
      <c r="D184" s="185" t="s">
        <v>485</v>
      </c>
      <c r="E184" s="165">
        <v>7717.0</v>
      </c>
      <c r="F184" s="165">
        <v>314.0</v>
      </c>
      <c r="G184" s="165">
        <v>0.0</v>
      </c>
      <c r="H184" s="165">
        <v>0.0</v>
      </c>
      <c r="I184" s="165">
        <v>231.0</v>
      </c>
      <c r="J184" s="165">
        <v>172.0</v>
      </c>
      <c r="K184" s="165">
        <v>51.0</v>
      </c>
      <c r="L184" s="165" t="s">
        <v>71</v>
      </c>
      <c r="M184" s="165">
        <v>27.0</v>
      </c>
      <c r="N184" s="145">
        <v>129.0</v>
      </c>
      <c r="O184" s="145">
        <v>25.0</v>
      </c>
      <c r="P184" s="165">
        <v>0.0</v>
      </c>
      <c r="Q184" s="165">
        <v>16.0</v>
      </c>
      <c r="R184" s="165">
        <v>0.0</v>
      </c>
      <c r="S184" s="165">
        <v>0.0</v>
      </c>
      <c r="T184" s="147" t="s">
        <v>143</v>
      </c>
      <c r="U184" s="188" t="s">
        <v>1295</v>
      </c>
      <c r="V184" s="190" t="s">
        <v>1296</v>
      </c>
      <c r="W184" s="209" t="s">
        <v>873</v>
      </c>
      <c r="X184" s="159" t="s">
        <v>1297</v>
      </c>
      <c r="Y184" s="160" t="s">
        <v>1243</v>
      </c>
      <c r="Z184" s="160" t="s">
        <v>27</v>
      </c>
      <c r="AA184" s="160" t="s">
        <v>11</v>
      </c>
      <c r="AB184" s="160" t="s">
        <v>1298</v>
      </c>
      <c r="AC184" s="160">
        <v>2.0</v>
      </c>
      <c r="AD184" s="160">
        <v>0.0</v>
      </c>
      <c r="AE184" s="160">
        <v>0.0</v>
      </c>
      <c r="AF184" s="160">
        <v>1.0</v>
      </c>
    </row>
    <row r="185">
      <c r="A185" s="156" t="s">
        <v>488</v>
      </c>
      <c r="B185" s="159" t="s">
        <v>66</v>
      </c>
      <c r="C185" s="152" t="s">
        <v>489</v>
      </c>
      <c r="D185" s="185" t="s">
        <v>473</v>
      </c>
      <c r="E185" s="165">
        <v>5260.0</v>
      </c>
      <c r="F185" s="165">
        <v>288.0</v>
      </c>
      <c r="G185" s="165">
        <v>212.0</v>
      </c>
      <c r="H185" s="165">
        <v>0.0</v>
      </c>
      <c r="I185" s="165">
        <v>418.0</v>
      </c>
      <c r="J185" s="165">
        <v>158.0</v>
      </c>
      <c r="K185" s="165">
        <v>78.0</v>
      </c>
      <c r="L185" s="165" t="s">
        <v>71</v>
      </c>
      <c r="M185" s="165">
        <v>27.0</v>
      </c>
      <c r="N185" s="145">
        <v>133.0</v>
      </c>
      <c r="O185" s="145">
        <v>15.0</v>
      </c>
      <c r="P185" s="165">
        <v>0.0</v>
      </c>
      <c r="Q185" s="165">
        <v>13.0</v>
      </c>
      <c r="R185" s="165">
        <v>0.0</v>
      </c>
      <c r="S185" s="165">
        <v>0.0</v>
      </c>
      <c r="T185" s="147" t="s">
        <v>104</v>
      </c>
      <c r="U185" s="188" t="s">
        <v>1284</v>
      </c>
      <c r="V185" s="206" t="s">
        <v>1285</v>
      </c>
      <c r="W185" s="209" t="s">
        <v>873</v>
      </c>
      <c r="X185" s="159" t="s">
        <v>1286</v>
      </c>
      <c r="Y185" s="160" t="s">
        <v>66</v>
      </c>
      <c r="Z185" s="160" t="s">
        <v>557</v>
      </c>
      <c r="AA185" s="160" t="s">
        <v>11</v>
      </c>
      <c r="AB185" s="160" t="s">
        <v>1287</v>
      </c>
      <c r="AC185" s="160">
        <v>1.0</v>
      </c>
      <c r="AD185" s="160">
        <v>1.0</v>
      </c>
      <c r="AE185" s="160">
        <v>1.0</v>
      </c>
      <c r="AF185" s="160">
        <v>2.0</v>
      </c>
    </row>
    <row r="186">
      <c r="A186" s="277" t="s">
        <v>490</v>
      </c>
      <c r="B186" s="248" t="s">
        <v>66</v>
      </c>
      <c r="C186" s="152" t="s">
        <v>491</v>
      </c>
      <c r="D186" s="191" t="s">
        <v>485</v>
      </c>
      <c r="E186" s="248">
        <v>5800.0</v>
      </c>
      <c r="F186" s="248">
        <v>295.0</v>
      </c>
      <c r="G186" s="248">
        <v>250.0</v>
      </c>
      <c r="H186" s="248">
        <v>0.0</v>
      </c>
      <c r="I186" s="248">
        <v>295.0</v>
      </c>
      <c r="J186" s="248">
        <v>141.0</v>
      </c>
      <c r="K186" s="248">
        <v>77.0</v>
      </c>
      <c r="L186" s="248" t="s">
        <v>71</v>
      </c>
      <c r="M186" s="248">
        <v>26.0</v>
      </c>
      <c r="N186" s="262">
        <v>149.0</v>
      </c>
      <c r="O186" s="262">
        <v>0.0</v>
      </c>
      <c r="P186" s="248">
        <v>0.0</v>
      </c>
      <c r="Q186" s="248">
        <v>15.0</v>
      </c>
      <c r="R186" s="248">
        <v>0.0</v>
      </c>
      <c r="S186" s="248">
        <v>0.0</v>
      </c>
      <c r="T186" s="147" t="s">
        <v>104</v>
      </c>
      <c r="U186" s="188" t="s">
        <v>1288</v>
      </c>
      <c r="V186" s="206" t="s">
        <v>1289</v>
      </c>
      <c r="W186" s="209" t="s">
        <v>873</v>
      </c>
      <c r="X186" s="159" t="s">
        <v>1290</v>
      </c>
      <c r="Y186" s="191" t="s">
        <v>66</v>
      </c>
      <c r="Z186" s="191" t="s">
        <v>557</v>
      </c>
      <c r="AA186" s="191" t="s">
        <v>11</v>
      </c>
      <c r="AB186" s="191" t="s">
        <v>1283</v>
      </c>
      <c r="AC186" s="191">
        <v>2.0</v>
      </c>
      <c r="AD186" s="191">
        <v>1.0</v>
      </c>
      <c r="AE186" s="191">
        <v>1.0</v>
      </c>
      <c r="AF186" s="191">
        <v>1.0</v>
      </c>
    </row>
    <row r="187">
      <c r="A187" s="277" t="s">
        <v>492</v>
      </c>
      <c r="B187" s="248" t="s">
        <v>52</v>
      </c>
      <c r="C187" s="152" t="s">
        <v>493</v>
      </c>
      <c r="D187" s="191" t="s">
        <v>473</v>
      </c>
      <c r="E187" s="248">
        <v>5382.0</v>
      </c>
      <c r="F187" s="248">
        <v>171.0</v>
      </c>
      <c r="G187" s="248">
        <v>197.0</v>
      </c>
      <c r="H187" s="248">
        <v>0.0</v>
      </c>
      <c r="I187" s="248">
        <v>361.0</v>
      </c>
      <c r="J187" s="248">
        <v>185.0</v>
      </c>
      <c r="K187" s="248">
        <v>78.0</v>
      </c>
      <c r="L187" s="248" t="s">
        <v>71</v>
      </c>
      <c r="M187" s="248">
        <v>25.0</v>
      </c>
      <c r="N187" s="262">
        <v>131.0</v>
      </c>
      <c r="O187" s="262">
        <v>15.0</v>
      </c>
      <c r="P187" s="248">
        <v>122.0</v>
      </c>
      <c r="Q187" s="248">
        <v>12.0</v>
      </c>
      <c r="R187" s="248">
        <v>0.0</v>
      </c>
      <c r="S187" s="248">
        <v>0.0</v>
      </c>
      <c r="T187" s="147" t="s">
        <v>193</v>
      </c>
      <c r="U187" s="194" t="s">
        <v>1123</v>
      </c>
      <c r="V187" s="193" t="s">
        <v>1124</v>
      </c>
      <c r="W187" s="209" t="s">
        <v>873</v>
      </c>
      <c r="X187" s="193" t="s">
        <v>1125</v>
      </c>
      <c r="Y187" s="191" t="s">
        <v>52</v>
      </c>
      <c r="Z187" s="191" t="s">
        <v>557</v>
      </c>
      <c r="AA187" s="191" t="s">
        <v>11</v>
      </c>
      <c r="AB187" s="191" t="s">
        <v>1126</v>
      </c>
      <c r="AC187" s="191">
        <v>2.0</v>
      </c>
      <c r="AD187" s="191">
        <v>1.0</v>
      </c>
      <c r="AE187" s="191">
        <v>1.0</v>
      </c>
      <c r="AF187" s="191">
        <v>1.0</v>
      </c>
    </row>
    <row r="188">
      <c r="A188" s="277" t="s">
        <v>498</v>
      </c>
      <c r="B188" s="248" t="s">
        <v>66</v>
      </c>
      <c r="C188" s="171" t="s">
        <v>499</v>
      </c>
      <c r="D188" s="191" t="s">
        <v>473</v>
      </c>
      <c r="E188" s="248">
        <v>6399.0</v>
      </c>
      <c r="F188" s="248">
        <v>257.0</v>
      </c>
      <c r="G188" s="248">
        <v>219.0</v>
      </c>
      <c r="H188" s="248">
        <v>0.0</v>
      </c>
      <c r="I188" s="248">
        <v>232.0</v>
      </c>
      <c r="J188" s="248">
        <v>166.0</v>
      </c>
      <c r="K188" s="248">
        <v>82.0</v>
      </c>
      <c r="L188" s="248" t="s">
        <v>71</v>
      </c>
      <c r="M188" s="248">
        <v>26.0</v>
      </c>
      <c r="N188" s="262">
        <v>152.0</v>
      </c>
      <c r="O188" s="262">
        <v>0.0</v>
      </c>
      <c r="P188" s="248">
        <v>0.0</v>
      </c>
      <c r="Q188" s="248">
        <v>13.0</v>
      </c>
      <c r="R188" s="248">
        <v>0.0</v>
      </c>
      <c r="S188" s="248">
        <v>0.0</v>
      </c>
      <c r="T188" s="147" t="s">
        <v>37</v>
      </c>
      <c r="U188" s="193" t="s">
        <v>1291</v>
      </c>
      <c r="V188" s="194" t="s">
        <v>1292</v>
      </c>
      <c r="W188" s="209" t="s">
        <v>873</v>
      </c>
      <c r="X188" s="191" t="s">
        <v>1293</v>
      </c>
      <c r="Y188" s="191" t="s">
        <v>66</v>
      </c>
      <c r="Z188" s="191" t="s">
        <v>557</v>
      </c>
      <c r="AA188" s="191" t="s">
        <v>11</v>
      </c>
      <c r="AB188" s="191" t="s">
        <v>1294</v>
      </c>
      <c r="AC188" s="191">
        <v>2.0</v>
      </c>
      <c r="AD188" s="191">
        <v>1.0</v>
      </c>
      <c r="AE188" s="191">
        <v>1.0</v>
      </c>
      <c r="AF188" s="191">
        <v>1.0</v>
      </c>
    </row>
    <row r="189">
      <c r="A189" s="277" t="s">
        <v>502</v>
      </c>
      <c r="B189" s="248" t="s">
        <v>484</v>
      </c>
      <c r="C189" s="171" t="s">
        <v>503</v>
      </c>
      <c r="D189" s="191" t="s">
        <v>485</v>
      </c>
      <c r="E189" s="288">
        <v>8056.0</v>
      </c>
      <c r="F189" s="248">
        <v>288.0</v>
      </c>
      <c r="G189" s="248">
        <v>206.0</v>
      </c>
      <c r="H189" s="248">
        <v>0.0</v>
      </c>
      <c r="I189" s="248">
        <v>257.0</v>
      </c>
      <c r="J189" s="248">
        <v>170.0</v>
      </c>
      <c r="K189" s="248">
        <v>53.0</v>
      </c>
      <c r="L189" s="248" t="s">
        <v>83</v>
      </c>
      <c r="M189" s="248">
        <v>26.0</v>
      </c>
      <c r="N189" s="262">
        <v>134.0</v>
      </c>
      <c r="O189" s="262">
        <v>0.0</v>
      </c>
      <c r="P189" s="248">
        <v>0.0</v>
      </c>
      <c r="Q189" s="248">
        <v>16.0</v>
      </c>
      <c r="R189" s="248">
        <v>0.0</v>
      </c>
      <c r="S189" s="248">
        <v>0.0</v>
      </c>
      <c r="T189" s="147" t="s">
        <v>193</v>
      </c>
      <c r="U189" s="202" t="s">
        <v>1299</v>
      </c>
      <c r="V189" s="194" t="s">
        <v>1300</v>
      </c>
      <c r="W189" s="209" t="s">
        <v>873</v>
      </c>
      <c r="X189" s="209" t="s">
        <v>1301</v>
      </c>
      <c r="Y189" s="191" t="s">
        <v>1243</v>
      </c>
      <c r="Z189" s="191" t="s">
        <v>557</v>
      </c>
      <c r="AA189" s="191" t="s">
        <v>11</v>
      </c>
      <c r="AB189" s="191" t="s">
        <v>1302</v>
      </c>
      <c r="AC189" s="191">
        <v>2.0</v>
      </c>
      <c r="AD189" s="191">
        <v>1.0</v>
      </c>
      <c r="AE189" s="191">
        <v>1.0</v>
      </c>
      <c r="AF189" s="191">
        <v>1.0</v>
      </c>
    </row>
    <row r="190">
      <c r="A190" s="277" t="s">
        <v>510</v>
      </c>
      <c r="B190" s="248" t="s">
        <v>52</v>
      </c>
      <c r="C190" s="171" t="s">
        <v>511</v>
      </c>
      <c r="D190" s="191" t="s">
        <v>32</v>
      </c>
      <c r="E190" s="248">
        <v>4655.0</v>
      </c>
      <c r="F190" s="248">
        <v>181.0</v>
      </c>
      <c r="G190" s="248">
        <v>374.0</v>
      </c>
      <c r="H190" s="248">
        <v>0.0</v>
      </c>
      <c r="I190" s="248">
        <v>395.0</v>
      </c>
      <c r="J190" s="248">
        <v>195.0</v>
      </c>
      <c r="K190" s="248">
        <v>121.0</v>
      </c>
      <c r="L190" s="248" t="s">
        <v>29</v>
      </c>
      <c r="M190" s="248">
        <v>35.0</v>
      </c>
      <c r="N190" s="262">
        <v>163.0</v>
      </c>
      <c r="O190" s="262">
        <v>55.0</v>
      </c>
      <c r="P190" s="248">
        <v>165.0</v>
      </c>
      <c r="Q190" s="248">
        <v>11.0</v>
      </c>
      <c r="R190" s="248">
        <v>0.0</v>
      </c>
      <c r="S190" s="248">
        <v>0.0</v>
      </c>
      <c r="T190" s="147" t="s">
        <v>512</v>
      </c>
      <c r="U190" s="193" t="s">
        <v>1127</v>
      </c>
      <c r="V190" s="202" t="s">
        <v>1128</v>
      </c>
      <c r="W190" s="194" t="s">
        <v>1129</v>
      </c>
      <c r="X190" s="191" t="s">
        <v>551</v>
      </c>
      <c r="Y190" s="191" t="s">
        <v>1130</v>
      </c>
      <c r="Z190" s="191" t="s">
        <v>1131</v>
      </c>
      <c r="AA190" s="191" t="s">
        <v>1132</v>
      </c>
      <c r="AB190" s="191" t="s">
        <v>1133</v>
      </c>
      <c r="AC190" s="191">
        <v>1.0</v>
      </c>
      <c r="AD190" s="191">
        <v>2.0</v>
      </c>
      <c r="AE190" s="191">
        <v>1.0</v>
      </c>
      <c r="AF190" s="191">
        <v>1.0</v>
      </c>
    </row>
    <row r="191">
      <c r="A191" s="277" t="s">
        <v>513</v>
      </c>
      <c r="B191" s="248" t="s">
        <v>52</v>
      </c>
      <c r="C191" s="171" t="s">
        <v>514</v>
      </c>
      <c r="D191" s="191" t="s">
        <v>28</v>
      </c>
      <c r="E191" s="248">
        <v>3653.0</v>
      </c>
      <c r="F191" s="248">
        <v>142.0</v>
      </c>
      <c r="G191" s="248">
        <v>290.0</v>
      </c>
      <c r="H191" s="248">
        <v>0.0</v>
      </c>
      <c r="I191" s="248">
        <v>348.0</v>
      </c>
      <c r="J191" s="248">
        <v>181.0</v>
      </c>
      <c r="K191" s="248">
        <v>120.0</v>
      </c>
      <c r="L191" s="248" t="s">
        <v>29</v>
      </c>
      <c r="M191" s="248">
        <v>33.0</v>
      </c>
      <c r="N191" s="262">
        <v>166.0</v>
      </c>
      <c r="O191" s="262">
        <v>55.0</v>
      </c>
      <c r="P191" s="248">
        <v>144.0</v>
      </c>
      <c r="Q191" s="248">
        <v>10.0</v>
      </c>
      <c r="R191" s="248">
        <v>0.0</v>
      </c>
      <c r="S191" s="248">
        <v>0.0</v>
      </c>
      <c r="T191" s="147" t="s">
        <v>512</v>
      </c>
      <c r="U191" s="194" t="s">
        <v>1134</v>
      </c>
      <c r="V191" s="193" t="s">
        <v>1135</v>
      </c>
      <c r="W191" s="191" t="s">
        <v>551</v>
      </c>
      <c r="X191" s="191" t="s">
        <v>551</v>
      </c>
      <c r="Y191" s="191" t="s">
        <v>52</v>
      </c>
      <c r="Z191" s="191" t="s">
        <v>1136</v>
      </c>
      <c r="AA191" s="191" t="s">
        <v>11</v>
      </c>
      <c r="AB191" s="191" t="s">
        <v>1110</v>
      </c>
      <c r="AC191" s="191">
        <v>1.0</v>
      </c>
      <c r="AD191" s="191">
        <v>2.0</v>
      </c>
      <c r="AE191" s="191">
        <v>1.0</v>
      </c>
      <c r="AF191" s="191">
        <v>1.0</v>
      </c>
    </row>
    <row r="192">
      <c r="A192" s="277">
        <v>524.0</v>
      </c>
      <c r="B192" s="248" t="s">
        <v>66</v>
      </c>
      <c r="C192" s="171" t="s">
        <v>515</v>
      </c>
      <c r="D192" s="191" t="s">
        <v>28</v>
      </c>
      <c r="E192" s="248">
        <v>4123.0</v>
      </c>
      <c r="F192" s="248">
        <v>240.0</v>
      </c>
      <c r="G192" s="248">
        <v>259.0</v>
      </c>
      <c r="H192" s="248">
        <v>0.0</v>
      </c>
      <c r="I192" s="248">
        <v>261.0</v>
      </c>
      <c r="J192" s="248">
        <v>182.0</v>
      </c>
      <c r="K192" s="248">
        <v>59.0</v>
      </c>
      <c r="L192" s="248" t="s">
        <v>71</v>
      </c>
      <c r="M192" s="248">
        <v>32.0</v>
      </c>
      <c r="N192" s="262">
        <v>135.0</v>
      </c>
      <c r="O192" s="262">
        <v>45.0</v>
      </c>
      <c r="P192" s="248">
        <v>0.0</v>
      </c>
      <c r="Q192" s="248">
        <v>11.0</v>
      </c>
      <c r="R192" s="248">
        <v>0.0</v>
      </c>
      <c r="S192" s="248">
        <v>0.0</v>
      </c>
      <c r="T192" s="147" t="s">
        <v>247</v>
      </c>
      <c r="U192" s="202" t="s">
        <v>1303</v>
      </c>
      <c r="V192" s="193" t="s">
        <v>1304</v>
      </c>
      <c r="W192" s="191" t="s">
        <v>551</v>
      </c>
      <c r="X192" s="191" t="s">
        <v>1305</v>
      </c>
      <c r="Y192" s="191" t="s">
        <v>66</v>
      </c>
      <c r="Z192" s="191" t="s">
        <v>1136</v>
      </c>
      <c r="AA192" s="191" t="s">
        <v>11</v>
      </c>
      <c r="AB192" s="191" t="s">
        <v>1306</v>
      </c>
      <c r="AC192" s="191">
        <v>1.0</v>
      </c>
      <c r="AD192" s="191">
        <v>2.0</v>
      </c>
      <c r="AE192" s="191">
        <v>1.0</v>
      </c>
      <c r="AF192" s="191">
        <v>1.0</v>
      </c>
    </row>
    <row r="193">
      <c r="A193" s="277">
        <v>521.0</v>
      </c>
      <c r="B193" s="248" t="s">
        <v>66</v>
      </c>
      <c r="C193" s="171" t="s">
        <v>516</v>
      </c>
      <c r="D193" s="191" t="s">
        <v>32</v>
      </c>
      <c r="E193" s="248">
        <v>5025.0</v>
      </c>
      <c r="F193" s="248">
        <v>246.0</v>
      </c>
      <c r="G193" s="248">
        <v>0.0</v>
      </c>
      <c r="H193" s="248">
        <v>0.0</v>
      </c>
      <c r="I193" s="248">
        <v>271.0</v>
      </c>
      <c r="J193" s="248">
        <v>185.0</v>
      </c>
      <c r="K193" s="248">
        <v>61.0</v>
      </c>
      <c r="L193" s="248" t="s">
        <v>71</v>
      </c>
      <c r="M193" s="248">
        <v>26.0</v>
      </c>
      <c r="N193" s="262">
        <v>139.0</v>
      </c>
      <c r="O193" s="262">
        <v>76.0</v>
      </c>
      <c r="P193" s="248">
        <v>0.0</v>
      </c>
      <c r="Q193" s="248">
        <v>12.0</v>
      </c>
      <c r="R193" s="248">
        <v>0.0</v>
      </c>
      <c r="S193" s="248">
        <v>0.0</v>
      </c>
      <c r="T193" s="147" t="s">
        <v>37</v>
      </c>
      <c r="U193" s="202" t="s">
        <v>1307</v>
      </c>
      <c r="V193" s="194" t="s">
        <v>1308</v>
      </c>
      <c r="W193" s="191" t="s">
        <v>551</v>
      </c>
      <c r="X193" s="191" t="s">
        <v>1156</v>
      </c>
      <c r="Y193" s="191" t="s">
        <v>66</v>
      </c>
      <c r="Z193" s="191" t="s">
        <v>27</v>
      </c>
      <c r="AA193" s="191" t="s">
        <v>11</v>
      </c>
      <c r="AB193" s="191" t="s">
        <v>1214</v>
      </c>
      <c r="AC193" s="191">
        <v>2.0</v>
      </c>
      <c r="AD193" s="191">
        <v>0.0</v>
      </c>
      <c r="AE193" s="191">
        <v>0.0</v>
      </c>
      <c r="AF193" s="191">
        <v>1.0</v>
      </c>
    </row>
    <row r="194">
      <c r="A194" s="277" t="s">
        <v>519</v>
      </c>
      <c r="B194" s="248" t="s">
        <v>66</v>
      </c>
      <c r="C194" s="171" t="s">
        <v>520</v>
      </c>
      <c r="D194" s="191" t="s">
        <v>28</v>
      </c>
      <c r="E194" s="248">
        <v>4111.0</v>
      </c>
      <c r="F194" s="248">
        <v>240.0</v>
      </c>
      <c r="G194" s="248">
        <v>218.0</v>
      </c>
      <c r="H194" s="248">
        <v>0.0</v>
      </c>
      <c r="I194" s="248">
        <v>213.0</v>
      </c>
      <c r="J194" s="248">
        <v>181.0</v>
      </c>
      <c r="K194" s="248">
        <v>40.0</v>
      </c>
      <c r="L194" s="248" t="s">
        <v>71</v>
      </c>
      <c r="M194" s="248">
        <v>24.0</v>
      </c>
      <c r="N194" s="262">
        <v>131.0</v>
      </c>
      <c r="O194" s="262">
        <v>55.0</v>
      </c>
      <c r="P194" s="248">
        <v>0.0</v>
      </c>
      <c r="Q194" s="248">
        <v>11.0</v>
      </c>
      <c r="R194" s="248">
        <v>0.0</v>
      </c>
      <c r="S194" s="248">
        <v>0.0</v>
      </c>
      <c r="T194" s="147" t="s">
        <v>512</v>
      </c>
      <c r="U194" s="194" t="s">
        <v>1309</v>
      </c>
      <c r="V194" s="193" t="s">
        <v>1310</v>
      </c>
      <c r="W194" s="191" t="s">
        <v>551</v>
      </c>
      <c r="X194" s="191" t="s">
        <v>551</v>
      </c>
      <c r="Y194" s="191" t="s">
        <v>66</v>
      </c>
      <c r="Z194" s="191" t="s">
        <v>1136</v>
      </c>
      <c r="AA194" s="191" t="s">
        <v>11</v>
      </c>
      <c r="AB194" s="191" t="s">
        <v>1311</v>
      </c>
      <c r="AC194" s="191">
        <v>1.0</v>
      </c>
      <c r="AD194" s="191">
        <v>2.0</v>
      </c>
      <c r="AE194" s="191">
        <v>1.0</v>
      </c>
      <c r="AF194" s="191">
        <v>1.0</v>
      </c>
    </row>
    <row r="195">
      <c r="A195" s="277" t="s">
        <v>521</v>
      </c>
      <c r="B195" s="248" t="s">
        <v>66</v>
      </c>
      <c r="C195" s="171" t="s">
        <v>522</v>
      </c>
      <c r="D195" s="191" t="s">
        <v>32</v>
      </c>
      <c r="E195" s="248">
        <v>5361.0</v>
      </c>
      <c r="F195" s="248">
        <v>251.0</v>
      </c>
      <c r="G195" s="248">
        <v>0.0</v>
      </c>
      <c r="H195" s="248">
        <v>0.0</v>
      </c>
      <c r="I195" s="248">
        <v>252.0</v>
      </c>
      <c r="J195" s="248">
        <v>189.0</v>
      </c>
      <c r="K195" s="248">
        <v>76.0</v>
      </c>
      <c r="L195" s="248" t="s">
        <v>71</v>
      </c>
      <c r="M195" s="248">
        <v>25.0</v>
      </c>
      <c r="N195" s="262">
        <v>154.0</v>
      </c>
      <c r="O195" s="262">
        <v>55.0</v>
      </c>
      <c r="P195" s="248">
        <v>0.0</v>
      </c>
      <c r="Q195" s="248">
        <v>12.0</v>
      </c>
      <c r="R195" s="248">
        <v>0.0</v>
      </c>
      <c r="S195" s="248">
        <v>0.0</v>
      </c>
      <c r="T195" s="147" t="s">
        <v>512</v>
      </c>
      <c r="U195" s="193" t="s">
        <v>1312</v>
      </c>
      <c r="V195" s="202" t="s">
        <v>1313</v>
      </c>
      <c r="W195" s="193" t="s">
        <v>1314</v>
      </c>
      <c r="X195" s="191" t="s">
        <v>551</v>
      </c>
      <c r="Y195" s="191" t="s">
        <v>66</v>
      </c>
      <c r="Z195" s="191" t="s">
        <v>27</v>
      </c>
      <c r="AA195" s="191" t="s">
        <v>11</v>
      </c>
      <c r="AB195" s="191" t="s">
        <v>1273</v>
      </c>
      <c r="AC195" s="191">
        <v>2.0</v>
      </c>
      <c r="AD195" s="191">
        <v>0.0</v>
      </c>
      <c r="AE195" s="191">
        <v>0.0</v>
      </c>
      <c r="AF195" s="191">
        <v>1.0</v>
      </c>
    </row>
    <row r="196">
      <c r="A196" s="277">
        <v>527.0</v>
      </c>
      <c r="B196" s="248" t="s">
        <v>66</v>
      </c>
      <c r="C196" s="171" t="s">
        <v>533</v>
      </c>
      <c r="D196" s="191" t="s">
        <v>32</v>
      </c>
      <c r="E196" s="248">
        <v>6146.0</v>
      </c>
      <c r="F196" s="248">
        <v>303.0</v>
      </c>
      <c r="G196" s="248">
        <v>259.0</v>
      </c>
      <c r="H196" s="248">
        <v>0.0</v>
      </c>
      <c r="I196" s="248">
        <v>220.0</v>
      </c>
      <c r="J196" s="248">
        <v>185.0</v>
      </c>
      <c r="K196" s="248">
        <v>68.0</v>
      </c>
      <c r="L196" s="248" t="s">
        <v>71</v>
      </c>
      <c r="M196" s="248">
        <v>26.0</v>
      </c>
      <c r="N196" s="262">
        <v>138.0</v>
      </c>
      <c r="O196" s="262">
        <v>50.0</v>
      </c>
      <c r="P196" s="248">
        <v>0.0</v>
      </c>
      <c r="Q196" s="248">
        <v>12.0</v>
      </c>
      <c r="R196" s="248">
        <v>0.0</v>
      </c>
      <c r="S196" s="248">
        <v>0.0</v>
      </c>
      <c r="T196" s="147" t="s">
        <v>193</v>
      </c>
      <c r="U196" s="193" t="s">
        <v>1315</v>
      </c>
      <c r="V196" s="194" t="s">
        <v>1316</v>
      </c>
      <c r="W196" s="191" t="s">
        <v>551</v>
      </c>
      <c r="X196" s="191" t="s">
        <v>1242</v>
      </c>
      <c r="Y196" s="191" t="s">
        <v>1243</v>
      </c>
      <c r="Z196" s="191" t="s">
        <v>1136</v>
      </c>
      <c r="AA196" s="191" t="s">
        <v>11</v>
      </c>
      <c r="AB196" s="191" t="s">
        <v>1317</v>
      </c>
      <c r="AC196" s="191">
        <v>1.0</v>
      </c>
      <c r="AD196" s="191">
        <v>2.0</v>
      </c>
      <c r="AE196" s="191">
        <v>1.0</v>
      </c>
      <c r="AF196" s="191">
        <v>1.0</v>
      </c>
    </row>
    <row r="197">
      <c r="A197" s="277">
        <v>525.0</v>
      </c>
      <c r="B197" s="248" t="s">
        <v>52</v>
      </c>
      <c r="C197" s="171" t="s">
        <v>534</v>
      </c>
      <c r="D197" s="191" t="s">
        <v>32</v>
      </c>
      <c r="E197" s="248">
        <v>3748.0</v>
      </c>
      <c r="F197" s="248">
        <v>190.0</v>
      </c>
      <c r="G197" s="248">
        <v>317.0</v>
      </c>
      <c r="H197" s="248">
        <v>0.0</v>
      </c>
      <c r="I197" s="248">
        <v>385.0</v>
      </c>
      <c r="J197" s="248">
        <v>207.0</v>
      </c>
      <c r="K197" s="248">
        <v>127.0</v>
      </c>
      <c r="L197" s="248" t="s">
        <v>29</v>
      </c>
      <c r="M197" s="248">
        <v>36.0</v>
      </c>
      <c r="N197" s="262">
        <v>168.0</v>
      </c>
      <c r="O197" s="262">
        <v>50.0</v>
      </c>
      <c r="P197" s="248">
        <v>149.0</v>
      </c>
      <c r="Q197" s="248">
        <v>11.0</v>
      </c>
      <c r="R197" s="248">
        <v>0.0</v>
      </c>
      <c r="S197" s="248">
        <v>0.0</v>
      </c>
      <c r="T197" s="147" t="s">
        <v>193</v>
      </c>
      <c r="U197" s="193" t="s">
        <v>1137</v>
      </c>
      <c r="V197" s="194" t="s">
        <v>1138</v>
      </c>
      <c r="W197" s="191" t="s">
        <v>551</v>
      </c>
      <c r="X197" s="191" t="s">
        <v>1139</v>
      </c>
      <c r="Y197" s="191" t="s">
        <v>52</v>
      </c>
      <c r="Z197" s="191" t="s">
        <v>1136</v>
      </c>
      <c r="AA197" s="191" t="s">
        <v>11</v>
      </c>
      <c r="AB197" s="191" t="s">
        <v>1140</v>
      </c>
      <c r="AC197" s="191">
        <v>1.0</v>
      </c>
      <c r="AD197" s="191">
        <v>2.0</v>
      </c>
      <c r="AE197" s="191">
        <v>1.0</v>
      </c>
      <c r="AF197" s="191">
        <v>1.0</v>
      </c>
    </row>
    <row r="198">
      <c r="A198" s="290"/>
      <c r="B198" s="273"/>
      <c r="C198" s="291"/>
      <c r="D198" s="292"/>
      <c r="E198" s="273"/>
      <c r="F198" s="273"/>
      <c r="G198" s="273"/>
      <c r="H198" s="273"/>
      <c r="I198" s="273"/>
      <c r="J198" s="273"/>
      <c r="K198" s="273"/>
      <c r="L198" s="273"/>
      <c r="M198" s="273"/>
      <c r="N198" s="272"/>
      <c r="O198" s="272"/>
      <c r="P198" s="273"/>
      <c r="Q198" s="273"/>
      <c r="R198" s="273"/>
      <c r="S198" s="273"/>
      <c r="T198" s="147"/>
      <c r="U198" s="292"/>
      <c r="V198" s="292"/>
      <c r="W198" s="292"/>
      <c r="X198" s="292"/>
      <c r="Y198" s="273"/>
      <c r="Z198" s="273"/>
      <c r="AA198" s="273"/>
      <c r="AB198" s="273"/>
      <c r="AC198" s="273"/>
      <c r="AD198" s="273"/>
      <c r="AE198" s="273"/>
      <c r="AF198" s="273"/>
    </row>
    <row r="199">
      <c r="A199" s="290"/>
      <c r="B199" s="273"/>
      <c r="C199" s="291"/>
      <c r="D199" s="292"/>
      <c r="E199" s="273"/>
      <c r="F199" s="273"/>
      <c r="G199" s="273"/>
      <c r="H199" s="273"/>
      <c r="I199" s="273"/>
      <c r="J199" s="273"/>
      <c r="K199" s="273"/>
      <c r="L199" s="273"/>
      <c r="M199" s="273"/>
      <c r="N199" s="272"/>
      <c r="O199" s="272"/>
      <c r="P199" s="273"/>
      <c r="Q199" s="273"/>
      <c r="R199" s="273"/>
      <c r="S199" s="273"/>
      <c r="T199" s="147"/>
      <c r="U199" s="292"/>
      <c r="V199" s="292"/>
      <c r="W199" s="292"/>
      <c r="X199" s="292"/>
      <c r="Y199" s="273"/>
      <c r="Z199" s="273"/>
      <c r="AA199" s="273"/>
      <c r="AB199" s="273"/>
      <c r="AC199" s="273"/>
      <c r="AD199" s="273"/>
      <c r="AE199" s="273"/>
      <c r="AF199" s="273"/>
    </row>
    <row r="200">
      <c r="A200" s="290"/>
      <c r="B200" s="273"/>
      <c r="C200" s="291"/>
      <c r="D200" s="292"/>
      <c r="E200" s="273"/>
      <c r="F200" s="273"/>
      <c r="G200" s="273"/>
      <c r="H200" s="273"/>
      <c r="I200" s="273"/>
      <c r="J200" s="273"/>
      <c r="K200" s="273"/>
      <c r="L200" s="273"/>
      <c r="M200" s="273"/>
      <c r="N200" s="272"/>
      <c r="O200" s="272"/>
      <c r="P200" s="273"/>
      <c r="Q200" s="273"/>
      <c r="R200" s="273"/>
      <c r="S200" s="273"/>
      <c r="T200" s="147"/>
      <c r="U200" s="292"/>
      <c r="V200" s="292"/>
      <c r="W200" s="292"/>
      <c r="X200" s="292"/>
      <c r="Y200" s="273"/>
      <c r="Z200" s="273"/>
      <c r="AA200" s="273"/>
      <c r="AB200" s="273"/>
      <c r="AC200" s="273"/>
      <c r="AD200" s="273"/>
      <c r="AE200" s="273"/>
      <c r="AF200" s="273"/>
    </row>
    <row r="201">
      <c r="A201" s="290"/>
      <c r="B201" s="273"/>
      <c r="C201" s="291"/>
      <c r="D201" s="292"/>
      <c r="E201" s="273"/>
      <c r="F201" s="273"/>
      <c r="G201" s="273"/>
      <c r="H201" s="273"/>
      <c r="I201" s="273"/>
      <c r="J201" s="273"/>
      <c r="K201" s="273"/>
      <c r="L201" s="273"/>
      <c r="M201" s="273"/>
      <c r="N201" s="272"/>
      <c r="O201" s="272"/>
      <c r="P201" s="273"/>
      <c r="Q201" s="273"/>
      <c r="R201" s="273"/>
      <c r="S201" s="273"/>
      <c r="T201" s="147"/>
      <c r="U201" s="292"/>
      <c r="V201" s="292"/>
      <c r="W201" s="292"/>
      <c r="X201" s="292"/>
      <c r="Y201" s="273"/>
      <c r="Z201" s="273"/>
      <c r="AA201" s="273"/>
      <c r="AB201" s="273"/>
      <c r="AC201" s="273"/>
      <c r="AD201" s="273"/>
      <c r="AE201" s="273"/>
      <c r="AF201" s="273"/>
    </row>
    <row r="202">
      <c r="A202" s="290"/>
      <c r="B202" s="273"/>
      <c r="C202" s="291"/>
      <c r="D202" s="292"/>
      <c r="E202" s="273"/>
      <c r="F202" s="273"/>
      <c r="G202" s="273"/>
      <c r="H202" s="273"/>
      <c r="I202" s="273"/>
      <c r="J202" s="273"/>
      <c r="K202" s="273"/>
      <c r="L202" s="273"/>
      <c r="M202" s="273"/>
      <c r="N202" s="272"/>
      <c r="O202" s="272"/>
      <c r="P202" s="273"/>
      <c r="Q202" s="273"/>
      <c r="R202" s="273"/>
      <c r="S202" s="273"/>
      <c r="T202" s="147"/>
      <c r="U202" s="292"/>
      <c r="V202" s="292"/>
      <c r="W202" s="292"/>
      <c r="X202" s="292"/>
      <c r="Y202" s="273"/>
      <c r="Z202" s="273"/>
      <c r="AA202" s="273"/>
      <c r="AB202" s="273"/>
      <c r="AC202" s="273"/>
      <c r="AD202" s="273"/>
      <c r="AE202" s="273"/>
      <c r="AF202" s="273"/>
    </row>
    <row r="203">
      <c r="A203" s="290"/>
      <c r="B203" s="273"/>
      <c r="C203" s="291"/>
      <c r="D203" s="292"/>
      <c r="E203" s="273"/>
      <c r="F203" s="273"/>
      <c r="G203" s="273"/>
      <c r="H203" s="273"/>
      <c r="I203" s="273"/>
      <c r="J203" s="273"/>
      <c r="K203" s="273"/>
      <c r="L203" s="273"/>
      <c r="M203" s="273"/>
      <c r="N203" s="272"/>
      <c r="O203" s="272"/>
      <c r="P203" s="273"/>
      <c r="Q203" s="273"/>
      <c r="R203" s="273"/>
      <c r="S203" s="273"/>
      <c r="T203" s="147"/>
      <c r="U203" s="292"/>
      <c r="V203" s="292"/>
      <c r="W203" s="292"/>
      <c r="X203" s="292"/>
      <c r="Y203" s="273"/>
      <c r="Z203" s="273"/>
      <c r="AA203" s="273"/>
      <c r="AB203" s="273"/>
      <c r="AC203" s="273"/>
      <c r="AD203" s="273"/>
      <c r="AE203" s="273"/>
      <c r="AF203" s="273"/>
    </row>
    <row r="204">
      <c r="A204" s="290"/>
      <c r="B204" s="273"/>
      <c r="C204" s="291"/>
      <c r="D204" s="292"/>
      <c r="E204" s="273"/>
      <c r="F204" s="273"/>
      <c r="G204" s="273"/>
      <c r="H204" s="273"/>
      <c r="I204" s="273"/>
      <c r="J204" s="273"/>
      <c r="K204" s="273"/>
      <c r="L204" s="273"/>
      <c r="M204" s="273"/>
      <c r="N204" s="272"/>
      <c r="O204" s="272"/>
      <c r="P204" s="273"/>
      <c r="Q204" s="273"/>
      <c r="R204" s="273"/>
      <c r="S204" s="273"/>
      <c r="T204" s="147"/>
      <c r="U204" s="292"/>
      <c r="V204" s="292"/>
      <c r="W204" s="292"/>
      <c r="X204" s="292"/>
      <c r="Y204" s="273"/>
      <c r="Z204" s="273"/>
      <c r="AA204" s="273"/>
      <c r="AB204" s="273"/>
      <c r="AC204" s="273"/>
      <c r="AD204" s="273"/>
      <c r="AE204" s="273"/>
      <c r="AF204" s="273"/>
    </row>
    <row r="205">
      <c r="A205" s="290"/>
      <c r="B205" s="273"/>
      <c r="C205" s="291"/>
      <c r="D205" s="292"/>
      <c r="E205" s="273"/>
      <c r="F205" s="273"/>
      <c r="G205" s="273"/>
      <c r="H205" s="273"/>
      <c r="I205" s="273"/>
      <c r="J205" s="273"/>
      <c r="K205" s="273"/>
      <c r="L205" s="273"/>
      <c r="M205" s="273"/>
      <c r="N205" s="272"/>
      <c r="O205" s="272"/>
      <c r="P205" s="273"/>
      <c r="Q205" s="273"/>
      <c r="R205" s="273"/>
      <c r="S205" s="273"/>
      <c r="T205" s="147"/>
      <c r="U205" s="292"/>
      <c r="V205" s="292"/>
      <c r="W205" s="292"/>
      <c r="X205" s="292"/>
      <c r="Y205" s="273"/>
      <c r="Z205" s="273"/>
      <c r="AA205" s="273"/>
      <c r="AB205" s="273"/>
      <c r="AC205" s="273"/>
      <c r="AD205" s="273"/>
      <c r="AE205" s="273"/>
      <c r="AF205" s="273"/>
    </row>
    <row r="206">
      <c r="A206" s="290"/>
      <c r="B206" s="273"/>
      <c r="C206" s="291"/>
      <c r="D206" s="292"/>
      <c r="E206" s="273"/>
      <c r="F206" s="273"/>
      <c r="G206" s="273"/>
      <c r="H206" s="273"/>
      <c r="I206" s="273"/>
      <c r="J206" s="273"/>
      <c r="K206" s="273"/>
      <c r="L206" s="273"/>
      <c r="M206" s="273"/>
      <c r="N206" s="272"/>
      <c r="O206" s="272"/>
      <c r="P206" s="273"/>
      <c r="Q206" s="273"/>
      <c r="R206" s="273"/>
      <c r="S206" s="273"/>
      <c r="T206" s="147"/>
      <c r="U206" s="292"/>
      <c r="V206" s="292"/>
      <c r="W206" s="292"/>
      <c r="X206" s="292"/>
      <c r="Y206" s="273"/>
      <c r="Z206" s="273"/>
      <c r="AA206" s="273"/>
      <c r="AB206" s="273"/>
      <c r="AC206" s="273"/>
      <c r="AD206" s="273"/>
      <c r="AE206" s="273"/>
      <c r="AF206" s="273"/>
    </row>
    <row r="207">
      <c r="A207" s="290"/>
      <c r="B207" s="273"/>
      <c r="C207" s="291"/>
      <c r="D207" s="292"/>
      <c r="E207" s="273"/>
      <c r="F207" s="273"/>
      <c r="G207" s="273"/>
      <c r="H207" s="273"/>
      <c r="I207" s="273"/>
      <c r="J207" s="273"/>
      <c r="K207" s="273"/>
      <c r="L207" s="273"/>
      <c r="M207" s="273"/>
      <c r="N207" s="272"/>
      <c r="O207" s="272"/>
      <c r="P207" s="273"/>
      <c r="Q207" s="273"/>
      <c r="R207" s="273"/>
      <c r="S207" s="273"/>
      <c r="T207" s="147"/>
      <c r="U207" s="292"/>
      <c r="V207" s="292"/>
      <c r="W207" s="292"/>
      <c r="X207" s="292"/>
      <c r="Y207" s="273"/>
      <c r="Z207" s="273"/>
      <c r="AA207" s="273"/>
      <c r="AB207" s="273"/>
      <c r="AC207" s="273"/>
      <c r="AD207" s="273"/>
      <c r="AE207" s="273"/>
      <c r="AF207" s="273"/>
    </row>
    <row r="208">
      <c r="A208" s="290"/>
      <c r="B208" s="273"/>
      <c r="C208" s="291"/>
      <c r="D208" s="292"/>
      <c r="E208" s="273"/>
      <c r="F208" s="273"/>
      <c r="G208" s="273"/>
      <c r="H208" s="273"/>
      <c r="I208" s="273"/>
      <c r="J208" s="273"/>
      <c r="K208" s="273"/>
      <c r="L208" s="273"/>
      <c r="M208" s="273"/>
      <c r="N208" s="272"/>
      <c r="O208" s="272"/>
      <c r="P208" s="273"/>
      <c r="Q208" s="273"/>
      <c r="R208" s="273"/>
      <c r="S208" s="273"/>
      <c r="T208" s="147"/>
      <c r="U208" s="292"/>
      <c r="V208" s="292"/>
      <c r="W208" s="292"/>
      <c r="X208" s="292"/>
      <c r="Y208" s="273"/>
      <c r="Z208" s="273"/>
      <c r="AA208" s="273"/>
      <c r="AB208" s="273"/>
      <c r="AC208" s="273"/>
      <c r="AD208" s="273"/>
      <c r="AE208" s="273"/>
      <c r="AF208" s="273"/>
    </row>
    <row r="209">
      <c r="A209" s="290"/>
      <c r="B209" s="273"/>
      <c r="C209" s="291"/>
      <c r="D209" s="292"/>
      <c r="E209" s="273"/>
      <c r="F209" s="273"/>
      <c r="G209" s="273"/>
      <c r="H209" s="273"/>
      <c r="I209" s="273"/>
      <c r="J209" s="273"/>
      <c r="K209" s="273"/>
      <c r="L209" s="273"/>
      <c r="M209" s="273"/>
      <c r="N209" s="272"/>
      <c r="O209" s="272"/>
      <c r="P209" s="273"/>
      <c r="Q209" s="273"/>
      <c r="R209" s="273"/>
      <c r="S209" s="273"/>
      <c r="T209" s="147"/>
      <c r="U209" s="292"/>
      <c r="V209" s="292"/>
      <c r="W209" s="292"/>
      <c r="X209" s="292"/>
      <c r="Y209" s="273"/>
      <c r="Z209" s="273"/>
      <c r="AA209" s="273"/>
      <c r="AB209" s="273"/>
      <c r="AC209" s="273"/>
      <c r="AD209" s="273"/>
      <c r="AE209" s="273"/>
      <c r="AF209" s="273"/>
    </row>
    <row r="210">
      <c r="A210" s="290"/>
      <c r="B210" s="273"/>
      <c r="C210" s="291"/>
      <c r="D210" s="292"/>
      <c r="E210" s="273"/>
      <c r="F210" s="273"/>
      <c r="G210" s="273"/>
      <c r="H210" s="273"/>
      <c r="I210" s="273"/>
      <c r="J210" s="273"/>
      <c r="K210" s="273"/>
      <c r="L210" s="273"/>
      <c r="M210" s="273"/>
      <c r="N210" s="272"/>
      <c r="O210" s="272"/>
      <c r="P210" s="273"/>
      <c r="Q210" s="273"/>
      <c r="R210" s="273"/>
      <c r="S210" s="273"/>
      <c r="T210" s="147"/>
      <c r="U210" s="292"/>
      <c r="V210" s="292"/>
      <c r="W210" s="292"/>
      <c r="X210" s="292"/>
      <c r="Y210" s="273"/>
      <c r="Z210" s="273"/>
      <c r="AA210" s="273"/>
      <c r="AB210" s="273"/>
      <c r="AC210" s="273"/>
      <c r="AD210" s="273"/>
      <c r="AE210" s="273"/>
      <c r="AF210" s="273"/>
    </row>
  </sheetData>
  <customSheetViews>
    <customSheetView guid="{B7B4CA30-437E-485A-933C-408D3E77C945}" filter="1" showAutoFilter="1">
      <autoFilter ref="$B$1:$B$210">
        <filterColumn colId="0">
          <filters>
            <filter val="CL"/>
            <filter val="CB"/>
          </filters>
        </filterColumn>
      </autoFilter>
    </customSheetView>
    <customSheetView guid="{7DD7A393-8F26-4E7D-BD4A-46F1724D4D69}" filter="1" showAutoFilter="1">
      <autoFilter ref="$A$1:$T$210">
        <filterColumn colId="1">
          <filters blank="1">
            <filter val="CA"/>
            <filter val="CB"/>
          </filters>
        </filterColumn>
      </autoFilter>
    </customSheetView>
    <customSheetView guid="{89A112BF-7670-4149-A23D-9DE7296E8357}" filter="1" showAutoFilter="1">
      <autoFilter ref="$A$1:$Y$210"/>
    </customSheetView>
  </customSheetViews>
  <conditionalFormatting sqref="T1:T210">
    <cfRule type="cellIs" dxfId="27" priority="1" operator="equal">
      <formula>"Venus"</formula>
    </cfRule>
  </conditionalFormatting>
  <conditionalFormatting sqref="T1:T210">
    <cfRule type="cellIs" dxfId="24" priority="2" operator="equal">
      <formula>"Hololive"</formula>
    </cfRule>
  </conditionalFormatting>
  <conditionalFormatting sqref="T1:T210">
    <cfRule type="cellIs" dxfId="12" priority="3" operator="equal">
      <formula>"Sardegna Empire"</formula>
    </cfRule>
  </conditionalFormatting>
  <conditionalFormatting sqref="T1:T210">
    <cfRule type="cellIs" dxfId="23" priority="4" operator="equal">
      <formula>"Universal"</formula>
    </cfRule>
  </conditionalFormatting>
  <conditionalFormatting sqref="D2:D210">
    <cfRule type="cellIs" dxfId="4" priority="5" operator="equal">
      <formula>"Priority"</formula>
    </cfRule>
  </conditionalFormatting>
  <conditionalFormatting sqref="D2:D210">
    <cfRule type="cellIs" dxfId="5" priority="6" operator="equal">
      <formula>"Decisive"</formula>
    </cfRule>
  </conditionalFormatting>
  <conditionalFormatting sqref="B1:B210">
    <cfRule type="cellIs" dxfId="21" priority="7" operator="equal">
      <formula>"CB"</formula>
    </cfRule>
  </conditionalFormatting>
  <conditionalFormatting sqref="T1:T210">
    <cfRule type="cellIs" dxfId="22" priority="8" operator="equal">
      <formula>"Kizuna Ai"</formula>
    </cfRule>
  </conditionalFormatting>
  <conditionalFormatting sqref="X2:X210">
    <cfRule type="containsText" dxfId="20" priority="9" operator="containsText" text="Ash">
      <formula>NOT(ISERROR(SEARCH(("Ash"),(X2))))</formula>
    </cfRule>
  </conditionalFormatting>
  <conditionalFormatting sqref="X2:X210">
    <cfRule type="containsBlanks" dxfId="31" priority="10">
      <formula>LEN(TRIM(X2))=0</formula>
    </cfRule>
  </conditionalFormatting>
  <conditionalFormatting sqref="X2:X210">
    <cfRule type="notContainsText" dxfId="5" priority="11" operator="notContains" text="--">
      <formula>ISERROR(SEARCH(("--"),(X2)))</formula>
    </cfRule>
  </conditionalFormatting>
  <conditionalFormatting sqref="D2:D210">
    <cfRule type="cellIs" dxfId="1" priority="12" operator="equal">
      <formula>"Common"</formula>
    </cfRule>
  </conditionalFormatting>
  <conditionalFormatting sqref="D2:D210">
    <cfRule type="cellIs" dxfId="2" priority="13" operator="equal">
      <formula>"Rare"</formula>
    </cfRule>
  </conditionalFormatting>
  <conditionalFormatting sqref="D2:D210">
    <cfRule type="cellIs" dxfId="3" priority="14" operator="equal">
      <formula>"Elite"</formula>
    </cfRule>
  </conditionalFormatting>
  <conditionalFormatting sqref="D2:D210">
    <cfRule type="cellIs" dxfId="4" priority="15" operator="equal">
      <formula>"Super Rare"</formula>
    </cfRule>
  </conditionalFormatting>
  <conditionalFormatting sqref="D2:D210">
    <cfRule type="cellIs" dxfId="5" priority="16" operator="equal">
      <formula>"Ultra Rare"</formula>
    </cfRule>
  </conditionalFormatting>
  <conditionalFormatting sqref="B1:B210">
    <cfRule type="cellIs" dxfId="7" priority="17" operator="equal">
      <formula>"CA"</formula>
    </cfRule>
  </conditionalFormatting>
  <conditionalFormatting sqref="B1:B210">
    <cfRule type="cellIs" dxfId="8" priority="18" operator="equal">
      <formula>"CL"</formula>
    </cfRule>
  </conditionalFormatting>
  <conditionalFormatting sqref="T1:T210">
    <cfRule type="cellIs" dxfId="15" priority="19" operator="equal">
      <formula>"Northern Parliament"</formula>
    </cfRule>
  </conditionalFormatting>
  <conditionalFormatting sqref="T1:T210">
    <cfRule type="cellIs" dxfId="2" priority="20" operator="equal">
      <formula>"Eagle Union"</formula>
    </cfRule>
  </conditionalFormatting>
  <conditionalFormatting sqref="T1:T210">
    <cfRule type="cellIs" dxfId="16" priority="21" operator="equal">
      <formula>"Royal Navy"</formula>
    </cfRule>
  </conditionalFormatting>
  <conditionalFormatting sqref="T1:T210">
    <cfRule type="cellIs" dxfId="17" priority="22" operator="equal">
      <formula>"Sakura Empire"</formula>
    </cfRule>
  </conditionalFormatting>
  <conditionalFormatting sqref="T1:T210">
    <cfRule type="cellIs" dxfId="5" priority="23" operator="equal">
      <formula>"Iron Blood"</formula>
    </cfRule>
  </conditionalFormatting>
  <conditionalFormatting sqref="T1:T210">
    <cfRule type="cellIs" dxfId="18" priority="24" operator="equal">
      <formula>"Dragon Empery"</formula>
    </cfRule>
  </conditionalFormatting>
  <conditionalFormatting sqref="T1:T210">
    <cfRule type="cellIs" dxfId="4" priority="25" operator="equal">
      <formula>"Iris Libre"</formula>
    </cfRule>
  </conditionalFormatting>
  <conditionalFormatting sqref="T1:T210">
    <cfRule type="cellIs" dxfId="9" priority="26" operator="equal">
      <formula>"Vichya Dominion"</formula>
    </cfRule>
  </conditionalFormatting>
  <conditionalFormatting sqref="T1:T210">
    <cfRule type="cellIs" dxfId="3" priority="27" operator="equal">
      <formula>"Neptunia"</formula>
    </cfRule>
  </conditionalFormatting>
  <conditionalFormatting sqref="E2:E210">
    <cfRule type="colorScale" priority="28">
      <colorScale>
        <cfvo type="min"/>
        <cfvo type="percentile" val="50"/>
        <cfvo type="formula" val="6252"/>
        <color rgb="FFE67C73"/>
        <color rgb="FFFFD666"/>
        <color rgb="FF57BB8A"/>
      </colorScale>
    </cfRule>
  </conditionalFormatting>
  <conditionalFormatting sqref="F2:F210">
    <cfRule type="colorScale" priority="29">
      <colorScale>
        <cfvo type="min"/>
        <cfvo type="percentile" val="50"/>
        <cfvo type="max"/>
        <color rgb="FFE67C73"/>
        <color rgb="FFFFD666"/>
        <color rgb="FF57BB8A"/>
      </colorScale>
    </cfRule>
  </conditionalFormatting>
  <conditionalFormatting sqref="I2:I210">
    <cfRule type="colorScale" priority="30">
      <colorScale>
        <cfvo type="min"/>
        <cfvo type="percentile" val="50"/>
        <cfvo type="formula" val="425"/>
        <color rgb="FFE67C73"/>
        <color rgb="FFFFD666"/>
        <color rgb="FF57BB8A"/>
      </colorScale>
    </cfRule>
  </conditionalFormatting>
  <conditionalFormatting sqref="G2:G210">
    <cfRule type="colorScale" priority="31">
      <colorScale>
        <cfvo type="formula" val="100"/>
        <cfvo type="percentile" val="50"/>
        <cfvo type="max"/>
        <color rgb="FFE67C73"/>
        <color rgb="FFFFD666"/>
        <color rgb="FF57BB8A"/>
      </colorScale>
    </cfRule>
  </conditionalFormatting>
  <conditionalFormatting sqref="K2:K210">
    <cfRule type="colorScale" priority="32">
      <colorScale>
        <cfvo type="min"/>
        <cfvo type="percentile" val="50"/>
        <cfvo type="formula" val="110"/>
        <color rgb="FFE67C73"/>
        <color rgb="FFFFD666"/>
        <color rgb="FF57BB8A"/>
      </colorScale>
    </cfRule>
  </conditionalFormatting>
  <conditionalFormatting sqref="Q2:Q210">
    <cfRule type="colorScale" priority="33">
      <colorScale>
        <cfvo type="min"/>
        <cfvo type="percentile" val="50"/>
        <cfvo type="max"/>
        <color rgb="FF57BB8A"/>
        <color rgb="FFFFD666"/>
        <color rgb="FFE67C73"/>
      </colorScale>
    </cfRule>
  </conditionalFormatting>
  <conditionalFormatting sqref="J2:J210">
    <cfRule type="colorScale" priority="34">
      <colorScale>
        <cfvo type="min"/>
        <cfvo type="percentile" val="50"/>
        <cfvo type="formula" val="200"/>
        <color rgb="FFE67C73"/>
        <color rgb="FFFFD666"/>
        <color rgb="FF57BB8A"/>
      </colorScale>
    </cfRule>
  </conditionalFormatting>
  <conditionalFormatting sqref="L2:L210">
    <cfRule type="cellIs" dxfId="36" priority="35" operator="equal">
      <formula>"Light"</formula>
    </cfRule>
  </conditionalFormatting>
  <conditionalFormatting sqref="L2:L210">
    <cfRule type="cellIs" dxfId="35" priority="36" operator="equal">
      <formula>"Medium"</formula>
    </cfRule>
  </conditionalFormatting>
  <conditionalFormatting sqref="M2:M210">
    <cfRule type="colorScale" priority="37">
      <colorScale>
        <cfvo type="min"/>
        <cfvo type="percentile" val="50"/>
        <cfvo type="max"/>
        <color rgb="FFE67C73"/>
        <color rgb="FFFFD666"/>
        <color rgb="FF57BB8A"/>
      </colorScale>
    </cfRule>
  </conditionalFormatting>
  <conditionalFormatting sqref="P2:P210">
    <cfRule type="colorScale" priority="38">
      <colorScale>
        <cfvo type="formula" val="40"/>
        <cfvo type="percentile" val="50"/>
        <cfvo type="max"/>
        <color rgb="FFE67C73"/>
        <color rgb="FFFFD666"/>
        <color rgb="FF57BB8A"/>
      </colorScale>
    </cfRule>
  </conditionalFormatting>
  <conditionalFormatting sqref="N2:N210">
    <cfRule type="colorScale" priority="39">
      <colorScale>
        <cfvo type="min"/>
        <cfvo type="percentile" val="50"/>
        <cfvo type="max"/>
        <color rgb="FFE67C73"/>
        <color rgb="FFFFD666"/>
        <color rgb="FF57BB8A"/>
      </colorScale>
    </cfRule>
  </conditionalFormatting>
  <conditionalFormatting sqref="O2:O210">
    <cfRule type="colorScale" priority="40">
      <colorScale>
        <cfvo type="min"/>
        <cfvo type="percentile" val="50"/>
        <cfvo type="max"/>
        <color rgb="FFE67C73"/>
        <color rgb="FFFFD666"/>
        <color rgb="FF57BB8A"/>
      </colorScale>
    </cfRule>
  </conditionalFormatting>
  <conditionalFormatting sqref="L2:L210">
    <cfRule type="cellIs" dxfId="19" priority="41" operator="equal">
      <formula>"Heavy"</formula>
    </cfRule>
  </conditionalFormatting>
  <conditionalFormatting sqref="T1:T210">
    <cfRule type="cellIs" dxfId="28" priority="42" operator="equal">
      <formula>"Ashes"</formula>
    </cfRule>
  </conditionalFormatting>
  <hyperlinks>
    <hyperlink r:id="rId2" location="Retrofit" ref="C7"/>
    <hyperlink r:id="rId3" ref="C59"/>
    <hyperlink r:id="rId4" ref="C73"/>
    <hyperlink r:id="rId5" ref="C136"/>
    <hyperlink r:id="rId6" ref="C137"/>
    <hyperlink r:id="rId7" ref="C138"/>
    <hyperlink r:id="rId8" location="Retrofit" ref="C142"/>
    <hyperlink r:id="rId9" ref="C143"/>
    <hyperlink r:id="rId10" ref="C148"/>
    <hyperlink r:id="rId11" ref="C149"/>
    <hyperlink r:id="rId12" ref="C150"/>
    <hyperlink r:id="rId13" ref="C151"/>
    <hyperlink r:id="rId14" ref="C152"/>
    <hyperlink r:id="rId15" ref="C153"/>
    <hyperlink r:id="rId16" ref="C154"/>
    <hyperlink r:id="rId17" ref="C155"/>
    <hyperlink r:id="rId18" ref="C156"/>
    <hyperlink r:id="rId19" ref="C157"/>
    <hyperlink r:id="rId20" ref="C158"/>
    <hyperlink r:id="rId21" ref="C159"/>
    <hyperlink r:id="rId22" ref="C160"/>
    <hyperlink r:id="rId23" ref="C161"/>
    <hyperlink r:id="rId24" ref="C162"/>
    <hyperlink r:id="rId25" ref="C163"/>
    <hyperlink r:id="rId26" ref="C164"/>
    <hyperlink r:id="rId27" ref="C165"/>
    <hyperlink r:id="rId28" ref="C166"/>
    <hyperlink r:id="rId29" ref="C167"/>
    <hyperlink r:id="rId30" ref="C174"/>
    <hyperlink r:id="rId31" ref="C175"/>
    <hyperlink r:id="rId32" ref="C176"/>
    <hyperlink r:id="rId33" ref="C177"/>
    <hyperlink r:id="rId34" ref="C178"/>
    <hyperlink r:id="rId35" ref="C185"/>
    <hyperlink r:id="rId36" ref="C186"/>
    <hyperlink r:id="rId37" ref="C187"/>
    <hyperlink r:id="rId38" ref="C188"/>
    <hyperlink r:id="rId39" ref="C189"/>
    <hyperlink r:id="rId40" ref="C190"/>
    <hyperlink r:id="rId41" ref="C191"/>
    <hyperlink r:id="rId42" ref="C192"/>
    <hyperlink r:id="rId43" ref="C193"/>
    <hyperlink r:id="rId44" ref="C194"/>
    <hyperlink r:id="rId45" ref="C195"/>
    <hyperlink r:id="rId46" ref="C196"/>
    <hyperlink r:id="rId47" ref="C197"/>
  </hyperlinks>
  <drawing r:id="rId48"/>
  <legacyDrawing r:id="rId49"/>
  <tableParts count="1">
    <tablePart r:id="rId51"/>
  </tableParts>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E06666"/>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29"/>
    <col customWidth="1" min="2" max="2" width="5.14"/>
    <col customWidth="1" min="3" max="3" width="21.0"/>
    <col customWidth="1" min="4" max="4" width="10.57"/>
    <col customWidth="1" min="5" max="11" width="5.86"/>
    <col customWidth="1" min="12" max="12" width="7.29"/>
    <col customWidth="1" min="13" max="17" width="5.86"/>
    <col customWidth="1" hidden="1" min="18" max="19" width="5.86"/>
    <col customWidth="1" min="20" max="20" width="17.71"/>
    <col customWidth="1" min="21" max="21" width="24.86"/>
    <col customWidth="1" min="22" max="22" width="25.57"/>
    <col customWidth="1" min="23" max="23" width="21.57"/>
    <col customWidth="1" min="24" max="24" width="25.86"/>
    <col customWidth="1" min="25" max="27" width="9.43"/>
    <col customWidth="1" min="28" max="28" width="11.43"/>
  </cols>
  <sheetData>
    <row r="1">
      <c r="A1" s="135" t="s">
        <v>3</v>
      </c>
      <c r="B1" s="136" t="s">
        <v>4</v>
      </c>
      <c r="C1" s="136" t="s">
        <v>5</v>
      </c>
      <c r="D1" s="136" t="s">
        <v>6</v>
      </c>
      <c r="E1" s="137" t="s">
        <v>7</v>
      </c>
      <c r="F1" s="137" t="s">
        <v>8</v>
      </c>
      <c r="G1" s="137" t="s">
        <v>9</v>
      </c>
      <c r="H1" s="137" t="s">
        <v>10</v>
      </c>
      <c r="I1" s="137" t="s">
        <v>11</v>
      </c>
      <c r="J1" s="137" t="s">
        <v>12</v>
      </c>
      <c r="K1" s="137" t="s">
        <v>13</v>
      </c>
      <c r="L1" s="137" t="s">
        <v>14</v>
      </c>
      <c r="M1" s="137" t="s">
        <v>15</v>
      </c>
      <c r="N1" s="138" t="s">
        <v>16</v>
      </c>
      <c r="O1" s="138" t="s">
        <v>17</v>
      </c>
      <c r="P1" s="137" t="s">
        <v>18</v>
      </c>
      <c r="Q1" s="137" t="s">
        <v>19</v>
      </c>
      <c r="R1" s="137" t="s">
        <v>20</v>
      </c>
      <c r="S1" s="137" t="s">
        <v>21</v>
      </c>
      <c r="T1" s="139" t="s">
        <v>22</v>
      </c>
      <c r="U1" s="140" t="s">
        <v>541</v>
      </c>
      <c r="V1" s="140" t="s">
        <v>542</v>
      </c>
      <c r="W1" s="140" t="s">
        <v>1328</v>
      </c>
      <c r="X1" s="140" t="s">
        <v>543</v>
      </c>
      <c r="Y1" s="139" t="s">
        <v>546</v>
      </c>
      <c r="Z1" s="139" t="s">
        <v>547</v>
      </c>
      <c r="AA1" s="139" t="s">
        <v>548</v>
      </c>
      <c r="AB1" s="139" t="s">
        <v>549</v>
      </c>
    </row>
    <row r="2" ht="15.75" customHeight="1">
      <c r="A2" s="141">
        <v>52.0</v>
      </c>
      <c r="B2" s="142" t="s">
        <v>82</v>
      </c>
      <c r="C2" s="143" t="str">
        <f>HYPERLINK("https://azurlane.koumakan.jp/Nevada","Nevada")</f>
        <v>Nevada</v>
      </c>
      <c r="D2" s="142" t="s">
        <v>40</v>
      </c>
      <c r="E2" s="145">
        <v>7140.0</v>
      </c>
      <c r="F2" s="145">
        <v>383.0</v>
      </c>
      <c r="G2" s="145">
        <v>0.0</v>
      </c>
      <c r="H2" s="145">
        <v>0.0</v>
      </c>
      <c r="I2" s="145">
        <v>206.0</v>
      </c>
      <c r="J2" s="145">
        <v>134.0</v>
      </c>
      <c r="K2" s="145">
        <v>26.0</v>
      </c>
      <c r="L2" s="145" t="s">
        <v>83</v>
      </c>
      <c r="M2" s="145">
        <v>20.0</v>
      </c>
      <c r="N2" s="145">
        <v>70.0</v>
      </c>
      <c r="O2" s="145">
        <v>75.0</v>
      </c>
      <c r="P2" s="145">
        <v>0.0</v>
      </c>
      <c r="Q2" s="145">
        <v>12.0</v>
      </c>
      <c r="R2" s="145">
        <v>0.0</v>
      </c>
      <c r="S2" s="145">
        <v>0.0</v>
      </c>
      <c r="T2" s="147" t="s">
        <v>37</v>
      </c>
      <c r="U2" s="161" t="s">
        <v>1153</v>
      </c>
      <c r="V2" s="149" t="s">
        <v>551</v>
      </c>
      <c r="W2" s="149" t="s">
        <v>551</v>
      </c>
      <c r="X2" s="149" t="s">
        <v>551</v>
      </c>
      <c r="Y2" s="147" t="s">
        <v>82</v>
      </c>
      <c r="Z2" s="147" t="s">
        <v>27</v>
      </c>
      <c r="AA2" s="147" t="s">
        <v>11</v>
      </c>
      <c r="AB2" s="147" t="s">
        <v>1329</v>
      </c>
    </row>
    <row r="3" ht="15.75" customHeight="1">
      <c r="A3" s="141">
        <v>52.1</v>
      </c>
      <c r="B3" s="142" t="s">
        <v>82</v>
      </c>
      <c r="C3" s="143" t="str">
        <f>HYPERLINK("https://azurlane.koumakan.jp/Nevada#Retrofit","Nevada (R)")</f>
        <v>Nevada (R)</v>
      </c>
      <c r="D3" s="142" t="s">
        <v>36</v>
      </c>
      <c r="E3" s="158">
        <v>7380.0</v>
      </c>
      <c r="F3" s="145">
        <v>393.0</v>
      </c>
      <c r="G3" s="145">
        <v>0.0</v>
      </c>
      <c r="H3" s="145">
        <v>0.0</v>
      </c>
      <c r="I3" s="145">
        <v>246.0</v>
      </c>
      <c r="J3" s="145">
        <v>154.0</v>
      </c>
      <c r="K3" s="145">
        <v>26.0</v>
      </c>
      <c r="L3" s="145" t="s">
        <v>83</v>
      </c>
      <c r="M3" s="145">
        <v>20.0</v>
      </c>
      <c r="N3" s="145">
        <v>85.0</v>
      </c>
      <c r="O3" s="169">
        <v>75.0</v>
      </c>
      <c r="P3" s="145">
        <v>0.0</v>
      </c>
      <c r="Q3" s="145">
        <v>12.0</v>
      </c>
      <c r="R3" s="145">
        <v>0.0</v>
      </c>
      <c r="S3" s="145">
        <v>0.0</v>
      </c>
      <c r="T3" s="147" t="s">
        <v>37</v>
      </c>
      <c r="U3" s="161" t="s">
        <v>1153</v>
      </c>
      <c r="V3" s="164" t="s">
        <v>1145</v>
      </c>
      <c r="W3" s="149" t="s">
        <v>551</v>
      </c>
      <c r="X3" s="149" t="s">
        <v>551</v>
      </c>
      <c r="Y3" s="147" t="s">
        <v>82</v>
      </c>
      <c r="Z3" s="147" t="s">
        <v>27</v>
      </c>
      <c r="AA3" s="147" t="s">
        <v>11</v>
      </c>
      <c r="AB3" s="147" t="s">
        <v>1330</v>
      </c>
    </row>
    <row r="4" ht="15.75" customHeight="1">
      <c r="A4" s="141">
        <v>53.0</v>
      </c>
      <c r="B4" s="142" t="s">
        <v>82</v>
      </c>
      <c r="C4" s="143" t="str">
        <f>HYPERLINK("https://azurlane.koumakan.jp/Oklahoma","Oklahoma")</f>
        <v>Oklahoma</v>
      </c>
      <c r="D4" s="142" t="s">
        <v>40</v>
      </c>
      <c r="E4" s="145">
        <v>7121.0</v>
      </c>
      <c r="F4" s="145">
        <v>383.0</v>
      </c>
      <c r="G4" s="145">
        <v>0.0</v>
      </c>
      <c r="H4" s="145">
        <v>0.0</v>
      </c>
      <c r="I4" s="145">
        <v>206.0</v>
      </c>
      <c r="J4" s="145">
        <v>134.0</v>
      </c>
      <c r="K4" s="145">
        <v>26.0</v>
      </c>
      <c r="L4" s="145" t="s">
        <v>83</v>
      </c>
      <c r="M4" s="145">
        <v>20.0</v>
      </c>
      <c r="N4" s="145">
        <v>70.0</v>
      </c>
      <c r="O4" s="145">
        <v>38.0</v>
      </c>
      <c r="P4" s="145">
        <v>0.0</v>
      </c>
      <c r="Q4" s="145">
        <v>12.0</v>
      </c>
      <c r="R4" s="145">
        <v>0.0</v>
      </c>
      <c r="S4" s="145">
        <v>0.0</v>
      </c>
      <c r="T4" s="147" t="s">
        <v>37</v>
      </c>
      <c r="U4" s="161" t="s">
        <v>1153</v>
      </c>
      <c r="V4" s="149" t="s">
        <v>551</v>
      </c>
      <c r="W4" s="149" t="s">
        <v>551</v>
      </c>
      <c r="X4" s="149" t="s">
        <v>551</v>
      </c>
      <c r="Y4" s="147" t="s">
        <v>82</v>
      </c>
      <c r="Z4" s="147" t="s">
        <v>27</v>
      </c>
      <c r="AA4" s="147" t="s">
        <v>11</v>
      </c>
      <c r="AB4" s="147" t="s">
        <v>1329</v>
      </c>
    </row>
    <row r="5" ht="15.75" customHeight="1">
      <c r="A5" s="141">
        <v>53.1</v>
      </c>
      <c r="B5" s="142" t="s">
        <v>82</v>
      </c>
      <c r="C5" s="143" t="str">
        <f>HYPERLINK("https://azurlane.koumakan.jp/Oklahoma#Retrofit","Oklahoma (R)")</f>
        <v>Oklahoma (R)</v>
      </c>
      <c r="D5" s="142" t="s">
        <v>36</v>
      </c>
      <c r="E5" s="158">
        <v>7361.0</v>
      </c>
      <c r="F5" s="145">
        <v>393.0</v>
      </c>
      <c r="G5" s="145">
        <v>0.0</v>
      </c>
      <c r="H5" s="145">
        <v>0.0</v>
      </c>
      <c r="I5" s="145">
        <v>251.0</v>
      </c>
      <c r="J5" s="145">
        <v>154.0</v>
      </c>
      <c r="K5" s="145">
        <v>26.0</v>
      </c>
      <c r="L5" s="145" t="s">
        <v>83</v>
      </c>
      <c r="M5" s="145">
        <v>20.0</v>
      </c>
      <c r="N5" s="145">
        <v>80.0</v>
      </c>
      <c r="O5" s="169">
        <v>38.0</v>
      </c>
      <c r="P5" s="145">
        <v>0.0</v>
      </c>
      <c r="Q5" s="145">
        <v>12.0</v>
      </c>
      <c r="R5" s="145">
        <v>0.0</v>
      </c>
      <c r="S5" s="145">
        <v>0.0</v>
      </c>
      <c r="T5" s="147" t="s">
        <v>37</v>
      </c>
      <c r="U5" s="161" t="s">
        <v>1153</v>
      </c>
      <c r="V5" s="164" t="s">
        <v>1145</v>
      </c>
      <c r="W5" s="149" t="s">
        <v>551</v>
      </c>
      <c r="X5" s="149" t="s">
        <v>551</v>
      </c>
      <c r="Y5" s="147" t="s">
        <v>82</v>
      </c>
      <c r="Z5" s="147" t="s">
        <v>27</v>
      </c>
      <c r="AA5" s="147" t="s">
        <v>11</v>
      </c>
      <c r="AB5" s="147" t="s">
        <v>1330</v>
      </c>
    </row>
    <row r="6" ht="15.75" customHeight="1">
      <c r="A6" s="141">
        <v>54.0</v>
      </c>
      <c r="B6" s="142" t="s">
        <v>82</v>
      </c>
      <c r="C6" s="143" t="str">
        <f>HYPERLINK("https://azurlane.koumakan.jp/Pennsylvania","Pennsylvania")</f>
        <v>Pennsylvania</v>
      </c>
      <c r="D6" s="149" t="s">
        <v>36</v>
      </c>
      <c r="E6" s="145">
        <v>7366.0</v>
      </c>
      <c r="F6" s="145">
        <v>395.0</v>
      </c>
      <c r="G6" s="145">
        <v>0.0</v>
      </c>
      <c r="H6" s="145">
        <v>0.0</v>
      </c>
      <c r="I6" s="145">
        <v>217.0</v>
      </c>
      <c r="J6" s="145">
        <v>139.0</v>
      </c>
      <c r="K6" s="145">
        <v>28.0</v>
      </c>
      <c r="L6" s="145" t="s">
        <v>83</v>
      </c>
      <c r="M6" s="145">
        <v>21.0</v>
      </c>
      <c r="N6" s="145">
        <v>72.0</v>
      </c>
      <c r="O6" s="145">
        <v>72.0</v>
      </c>
      <c r="P6" s="145">
        <v>0.0</v>
      </c>
      <c r="Q6" s="145">
        <v>13.0</v>
      </c>
      <c r="R6" s="145">
        <v>0.0</v>
      </c>
      <c r="S6" s="145">
        <v>0.0</v>
      </c>
      <c r="T6" s="147" t="s">
        <v>37</v>
      </c>
      <c r="U6" s="164" t="s">
        <v>1331</v>
      </c>
      <c r="V6" s="149" t="s">
        <v>551</v>
      </c>
      <c r="W6" s="149" t="s">
        <v>551</v>
      </c>
      <c r="X6" s="149" t="s">
        <v>551</v>
      </c>
      <c r="Y6" s="147" t="s">
        <v>82</v>
      </c>
      <c r="Z6" s="147" t="s">
        <v>27</v>
      </c>
      <c r="AA6" s="147" t="s">
        <v>11</v>
      </c>
      <c r="AB6" s="147" t="s">
        <v>1329</v>
      </c>
    </row>
    <row r="7" ht="15.75" customHeight="1">
      <c r="A7" s="141">
        <v>55.0</v>
      </c>
      <c r="B7" s="142" t="s">
        <v>82</v>
      </c>
      <c r="C7" s="143" t="str">
        <f>HYPERLINK("https://azurlane.koumakan.jp/Arizona","Arizona")</f>
        <v>Arizona</v>
      </c>
      <c r="D7" s="142" t="s">
        <v>28</v>
      </c>
      <c r="E7" s="145">
        <v>7307.0</v>
      </c>
      <c r="F7" s="145">
        <v>405.0</v>
      </c>
      <c r="G7" s="145">
        <v>0.0</v>
      </c>
      <c r="H7" s="145">
        <v>0.0</v>
      </c>
      <c r="I7" s="145">
        <v>223.0</v>
      </c>
      <c r="J7" s="145">
        <v>141.0</v>
      </c>
      <c r="K7" s="145">
        <v>28.0</v>
      </c>
      <c r="L7" s="145" t="s">
        <v>83</v>
      </c>
      <c r="M7" s="145">
        <v>21.0</v>
      </c>
      <c r="N7" s="145">
        <v>72.0</v>
      </c>
      <c r="O7" s="145">
        <v>17.0</v>
      </c>
      <c r="P7" s="145">
        <v>0.0</v>
      </c>
      <c r="Q7" s="145">
        <v>14.0</v>
      </c>
      <c r="R7" s="145">
        <v>0.0</v>
      </c>
      <c r="S7" s="145">
        <v>0.0</v>
      </c>
      <c r="T7" s="147" t="s">
        <v>37</v>
      </c>
      <c r="U7" s="148" t="s">
        <v>1332</v>
      </c>
      <c r="V7" s="149" t="s">
        <v>551</v>
      </c>
      <c r="W7" s="149" t="s">
        <v>551</v>
      </c>
      <c r="X7" s="149" t="s">
        <v>551</v>
      </c>
      <c r="Y7" s="147" t="s">
        <v>82</v>
      </c>
      <c r="Z7" s="147" t="s">
        <v>27</v>
      </c>
      <c r="AA7" s="147" t="s">
        <v>11</v>
      </c>
      <c r="AB7" s="147" t="s">
        <v>1329</v>
      </c>
    </row>
    <row r="8" ht="15.75" customHeight="1">
      <c r="A8" s="141">
        <v>58.0</v>
      </c>
      <c r="B8" s="142" t="s">
        <v>82</v>
      </c>
      <c r="C8" s="143" t="str">
        <f>HYPERLINK("https://azurlane.koumakan.jp/Tennessee","Tennessee")</f>
        <v>Tennessee</v>
      </c>
      <c r="D8" s="142" t="s">
        <v>36</v>
      </c>
      <c r="E8" s="145">
        <v>7561.0</v>
      </c>
      <c r="F8" s="145">
        <v>396.0</v>
      </c>
      <c r="G8" s="145">
        <v>0.0</v>
      </c>
      <c r="H8" s="145">
        <v>0.0</v>
      </c>
      <c r="I8" s="145">
        <v>215.0</v>
      </c>
      <c r="J8" s="145">
        <v>141.0</v>
      </c>
      <c r="K8" s="145">
        <v>29.0</v>
      </c>
      <c r="L8" s="145" t="s">
        <v>83</v>
      </c>
      <c r="M8" s="145">
        <v>21.0</v>
      </c>
      <c r="N8" s="145">
        <v>71.0</v>
      </c>
      <c r="O8" s="145">
        <v>51.0</v>
      </c>
      <c r="P8" s="145">
        <v>0.0</v>
      </c>
      <c r="Q8" s="145">
        <v>13.0</v>
      </c>
      <c r="R8" s="145">
        <v>0.0</v>
      </c>
      <c r="S8" s="145">
        <v>0.0</v>
      </c>
      <c r="T8" s="147" t="s">
        <v>37</v>
      </c>
      <c r="U8" s="148" t="s">
        <v>1333</v>
      </c>
      <c r="V8" s="149" t="s">
        <v>551</v>
      </c>
      <c r="W8" s="149" t="s">
        <v>551</v>
      </c>
      <c r="X8" s="149" t="s">
        <v>551</v>
      </c>
      <c r="Y8" s="147" t="s">
        <v>82</v>
      </c>
      <c r="Z8" s="147" t="s">
        <v>27</v>
      </c>
      <c r="AA8" s="147" t="s">
        <v>11</v>
      </c>
      <c r="AB8" s="147" t="s">
        <v>1329</v>
      </c>
    </row>
    <row r="9" ht="15.75" customHeight="1">
      <c r="A9" s="141">
        <v>59.0</v>
      </c>
      <c r="B9" s="142" t="s">
        <v>82</v>
      </c>
      <c r="C9" s="143" t="str">
        <f>HYPERLINK("https://azurlane.koumakan.jp/California","California")</f>
        <v>California</v>
      </c>
      <c r="D9" s="142" t="s">
        <v>36</v>
      </c>
      <c r="E9" s="145">
        <v>7561.0</v>
      </c>
      <c r="F9" s="145">
        <v>396.0</v>
      </c>
      <c r="G9" s="145">
        <v>0.0</v>
      </c>
      <c r="H9" s="145">
        <v>0.0</v>
      </c>
      <c r="I9" s="145">
        <v>215.0</v>
      </c>
      <c r="J9" s="145">
        <v>141.0</v>
      </c>
      <c r="K9" s="145">
        <v>29.0</v>
      </c>
      <c r="L9" s="145" t="s">
        <v>83</v>
      </c>
      <c r="M9" s="145">
        <v>21.0</v>
      </c>
      <c r="N9" s="145">
        <v>71.0</v>
      </c>
      <c r="O9" s="145">
        <v>36.0</v>
      </c>
      <c r="P9" s="145">
        <v>0.0</v>
      </c>
      <c r="Q9" s="145">
        <v>13.0</v>
      </c>
      <c r="R9" s="145">
        <v>0.0</v>
      </c>
      <c r="S9" s="145">
        <v>0.0</v>
      </c>
      <c r="T9" s="147" t="s">
        <v>37</v>
      </c>
      <c r="U9" s="164" t="s">
        <v>1145</v>
      </c>
      <c r="V9" s="149" t="s">
        <v>551</v>
      </c>
      <c r="W9" s="149" t="s">
        <v>551</v>
      </c>
      <c r="X9" s="149" t="s">
        <v>551</v>
      </c>
      <c r="Y9" s="147" t="s">
        <v>82</v>
      </c>
      <c r="Z9" s="147" t="s">
        <v>27</v>
      </c>
      <c r="AA9" s="147" t="s">
        <v>11</v>
      </c>
      <c r="AB9" s="147" t="s">
        <v>1329</v>
      </c>
    </row>
    <row r="10" ht="15.75" customHeight="1">
      <c r="A10" s="141">
        <v>60.0</v>
      </c>
      <c r="B10" s="142" t="s">
        <v>82</v>
      </c>
      <c r="C10" s="143" t="str">
        <f>HYPERLINK("https://azurlane.koumakan.jp/Colorado","Colorado")</f>
        <v>Colorado</v>
      </c>
      <c r="D10" s="142" t="s">
        <v>28</v>
      </c>
      <c r="E10" s="145">
        <v>7633.0</v>
      </c>
      <c r="F10" s="145">
        <v>415.0</v>
      </c>
      <c r="G10" s="145">
        <v>0.0</v>
      </c>
      <c r="H10" s="145">
        <v>0.0</v>
      </c>
      <c r="I10" s="145">
        <v>221.0</v>
      </c>
      <c r="J10" s="145">
        <v>151.0</v>
      </c>
      <c r="K10" s="145">
        <v>31.0</v>
      </c>
      <c r="L10" s="145" t="s">
        <v>83</v>
      </c>
      <c r="M10" s="145">
        <v>21.0</v>
      </c>
      <c r="N10" s="145">
        <v>71.0</v>
      </c>
      <c r="O10" s="145">
        <v>67.0</v>
      </c>
      <c r="P10" s="145">
        <v>0.0</v>
      </c>
      <c r="Q10" s="145">
        <v>14.0</v>
      </c>
      <c r="R10" s="145">
        <v>0.0</v>
      </c>
      <c r="S10" s="145">
        <v>0.0</v>
      </c>
      <c r="T10" s="147" t="s">
        <v>37</v>
      </c>
      <c r="U10" s="164" t="s">
        <v>1334</v>
      </c>
      <c r="V10" s="149" t="s">
        <v>551</v>
      </c>
      <c r="W10" s="149" t="s">
        <v>551</v>
      </c>
      <c r="X10" s="149" t="s">
        <v>551</v>
      </c>
      <c r="Y10" s="147" t="s">
        <v>82</v>
      </c>
      <c r="Z10" s="147" t="s">
        <v>27</v>
      </c>
      <c r="AA10" s="147" t="s">
        <v>11</v>
      </c>
      <c r="AB10" s="147" t="s">
        <v>1329</v>
      </c>
    </row>
    <row r="11" ht="15.75" customHeight="1">
      <c r="A11" s="141">
        <v>61.0</v>
      </c>
      <c r="B11" s="142" t="s">
        <v>82</v>
      </c>
      <c r="C11" s="143" t="str">
        <f>HYPERLINK("https://azurlane.koumakan.jp/Maryland","Maryland")</f>
        <v>Maryland</v>
      </c>
      <c r="D11" s="142" t="s">
        <v>28</v>
      </c>
      <c r="E11" s="145">
        <v>7692.0</v>
      </c>
      <c r="F11" s="145">
        <v>410.0</v>
      </c>
      <c r="G11" s="145">
        <v>0.0</v>
      </c>
      <c r="H11" s="145">
        <v>0.0</v>
      </c>
      <c r="I11" s="145">
        <v>221.0</v>
      </c>
      <c r="J11" s="145">
        <v>148.0</v>
      </c>
      <c r="K11" s="145">
        <v>31.0</v>
      </c>
      <c r="L11" s="145" t="s">
        <v>83</v>
      </c>
      <c r="M11" s="145">
        <v>21.0</v>
      </c>
      <c r="N11" s="145">
        <v>66.0</v>
      </c>
      <c r="O11" s="145">
        <v>70.0</v>
      </c>
      <c r="P11" s="145">
        <v>0.0</v>
      </c>
      <c r="Q11" s="145">
        <v>14.0</v>
      </c>
      <c r="R11" s="145">
        <v>0.0</v>
      </c>
      <c r="S11" s="145">
        <v>0.0</v>
      </c>
      <c r="T11" s="147" t="s">
        <v>37</v>
      </c>
      <c r="U11" s="164" t="s">
        <v>1334</v>
      </c>
      <c r="V11" s="164" t="s">
        <v>1335</v>
      </c>
      <c r="W11" s="149" t="s">
        <v>551</v>
      </c>
      <c r="X11" s="149" t="s">
        <v>551</v>
      </c>
      <c r="Y11" s="147" t="s">
        <v>82</v>
      </c>
      <c r="Z11" s="147" t="s">
        <v>27</v>
      </c>
      <c r="AA11" s="147" t="s">
        <v>11</v>
      </c>
      <c r="AB11" s="147" t="s">
        <v>1329</v>
      </c>
    </row>
    <row r="12" ht="15.75" customHeight="1">
      <c r="A12" s="141">
        <v>62.0</v>
      </c>
      <c r="B12" s="142" t="s">
        <v>82</v>
      </c>
      <c r="C12" s="143" t="str">
        <f>HYPERLINK("https://azurlane.koumakan.jp/West_Virginia","West Virginia")</f>
        <v>West Virginia</v>
      </c>
      <c r="D12" s="142" t="s">
        <v>28</v>
      </c>
      <c r="E12" s="145">
        <v>7633.0</v>
      </c>
      <c r="F12" s="145">
        <v>415.0</v>
      </c>
      <c r="G12" s="145">
        <v>0.0</v>
      </c>
      <c r="H12" s="145">
        <v>0.0</v>
      </c>
      <c r="I12" s="145">
        <v>221.0</v>
      </c>
      <c r="J12" s="145">
        <v>151.0</v>
      </c>
      <c r="K12" s="145">
        <v>31.0</v>
      </c>
      <c r="L12" s="145" t="s">
        <v>83</v>
      </c>
      <c r="M12" s="145">
        <v>21.0</v>
      </c>
      <c r="N12" s="145">
        <v>72.0</v>
      </c>
      <c r="O12" s="145">
        <v>61.0</v>
      </c>
      <c r="P12" s="145">
        <v>0.0</v>
      </c>
      <c r="Q12" s="145">
        <v>14.0</v>
      </c>
      <c r="R12" s="145">
        <v>0.0</v>
      </c>
      <c r="S12" s="145">
        <v>0.0</v>
      </c>
      <c r="T12" s="147" t="s">
        <v>37</v>
      </c>
      <c r="U12" s="164" t="s">
        <v>1334</v>
      </c>
      <c r="V12" s="149" t="s">
        <v>551</v>
      </c>
      <c r="W12" s="149" t="s">
        <v>551</v>
      </c>
      <c r="X12" s="149" t="s">
        <v>551</v>
      </c>
      <c r="Y12" s="147" t="s">
        <v>82</v>
      </c>
      <c r="Z12" s="147" t="s">
        <v>27</v>
      </c>
      <c r="AA12" s="147" t="s">
        <v>11</v>
      </c>
      <c r="AB12" s="147" t="s">
        <v>1329</v>
      </c>
    </row>
    <row r="13" ht="15.75" customHeight="1">
      <c r="A13" s="141">
        <v>63.0</v>
      </c>
      <c r="B13" s="142" t="s">
        <v>82</v>
      </c>
      <c r="C13" s="143" t="str">
        <f>HYPERLINK("https://azurlane.koumakan.jp/North_Carolina","North Carolina")</f>
        <v>North Carolina</v>
      </c>
      <c r="D13" s="142" t="s">
        <v>32</v>
      </c>
      <c r="E13" s="145">
        <v>8038.0</v>
      </c>
      <c r="F13" s="145">
        <v>426.0</v>
      </c>
      <c r="G13" s="145">
        <v>0.0</v>
      </c>
      <c r="H13" s="145">
        <v>0.0</v>
      </c>
      <c r="I13" s="145">
        <v>409.0</v>
      </c>
      <c r="J13" s="145">
        <v>161.0</v>
      </c>
      <c r="K13" s="145">
        <v>34.0</v>
      </c>
      <c r="L13" s="145" t="s">
        <v>83</v>
      </c>
      <c r="M13" s="145">
        <v>28.0</v>
      </c>
      <c r="N13" s="145">
        <v>72.0</v>
      </c>
      <c r="O13" s="145">
        <v>81.0</v>
      </c>
      <c r="P13" s="145">
        <v>0.0</v>
      </c>
      <c r="Q13" s="145">
        <v>15.0</v>
      </c>
      <c r="R13" s="145">
        <v>0.0</v>
      </c>
      <c r="S13" s="145">
        <v>0.0</v>
      </c>
      <c r="T13" s="147" t="s">
        <v>37</v>
      </c>
      <c r="U13" s="148" t="s">
        <v>1336</v>
      </c>
      <c r="V13" s="164" t="s">
        <v>1337</v>
      </c>
      <c r="W13" s="149" t="s">
        <v>551</v>
      </c>
      <c r="X13" s="149" t="s">
        <v>551</v>
      </c>
      <c r="Y13" s="147" t="s">
        <v>82</v>
      </c>
      <c r="Z13" s="147" t="s">
        <v>27</v>
      </c>
      <c r="AA13" s="147" t="s">
        <v>11</v>
      </c>
      <c r="AB13" s="147" t="s">
        <v>1329</v>
      </c>
    </row>
    <row r="14" ht="15.75" customHeight="1">
      <c r="A14" s="141">
        <v>64.0</v>
      </c>
      <c r="B14" s="142" t="s">
        <v>82</v>
      </c>
      <c r="C14" s="143" t="str">
        <f>HYPERLINK("https://azurlane.koumakan.jp/Washington","Washington")</f>
        <v>Washington</v>
      </c>
      <c r="D14" s="142" t="s">
        <v>32</v>
      </c>
      <c r="E14" s="145">
        <v>8271.0</v>
      </c>
      <c r="F14" s="145">
        <v>426.0</v>
      </c>
      <c r="G14" s="145">
        <v>0.0</v>
      </c>
      <c r="H14" s="145">
        <v>0.0</v>
      </c>
      <c r="I14" s="145">
        <v>409.0</v>
      </c>
      <c r="J14" s="145">
        <v>161.0</v>
      </c>
      <c r="K14" s="145">
        <v>34.0</v>
      </c>
      <c r="L14" s="145" t="s">
        <v>83</v>
      </c>
      <c r="M14" s="145">
        <v>28.0</v>
      </c>
      <c r="N14" s="145">
        <v>72.0</v>
      </c>
      <c r="O14" s="145">
        <v>89.0</v>
      </c>
      <c r="P14" s="145">
        <v>0.0</v>
      </c>
      <c r="Q14" s="145">
        <v>15.0</v>
      </c>
      <c r="R14" s="145">
        <v>0.0</v>
      </c>
      <c r="S14" s="145">
        <v>0.0</v>
      </c>
      <c r="T14" s="147" t="s">
        <v>37</v>
      </c>
      <c r="U14" s="164" t="s">
        <v>1338</v>
      </c>
      <c r="V14" s="161" t="s">
        <v>1339</v>
      </c>
      <c r="W14" s="149" t="s">
        <v>551</v>
      </c>
      <c r="X14" s="149" t="s">
        <v>551</v>
      </c>
      <c r="Y14" s="147" t="s">
        <v>82</v>
      </c>
      <c r="Z14" s="147" t="s">
        <v>27</v>
      </c>
      <c r="AA14" s="147" t="s">
        <v>11</v>
      </c>
      <c r="AB14" s="147" t="s">
        <v>1329</v>
      </c>
    </row>
    <row r="15" ht="15.75" customHeight="1">
      <c r="A15" s="141">
        <v>65.0</v>
      </c>
      <c r="B15" s="142" t="s">
        <v>82</v>
      </c>
      <c r="C15" s="143" t="str">
        <f>HYPERLINK("https://azurlane.koumakan.jp/South_Dakota","South Dakota")</f>
        <v>South Dakota</v>
      </c>
      <c r="D15" s="142" t="s">
        <v>32</v>
      </c>
      <c r="E15" s="145">
        <v>8221.0</v>
      </c>
      <c r="F15" s="145">
        <v>419.0</v>
      </c>
      <c r="G15" s="145">
        <v>0.0</v>
      </c>
      <c r="H15" s="145">
        <v>0.0</v>
      </c>
      <c r="I15" s="145">
        <v>409.0</v>
      </c>
      <c r="J15" s="145">
        <v>161.0</v>
      </c>
      <c r="K15" s="145">
        <v>34.0</v>
      </c>
      <c r="L15" s="145" t="s">
        <v>83</v>
      </c>
      <c r="M15" s="145">
        <v>27.0</v>
      </c>
      <c r="N15" s="145">
        <v>74.0</v>
      </c>
      <c r="O15" s="145">
        <v>76.0</v>
      </c>
      <c r="P15" s="145">
        <v>0.0</v>
      </c>
      <c r="Q15" s="145">
        <v>15.0</v>
      </c>
      <c r="R15" s="145">
        <v>0.0</v>
      </c>
      <c r="S15" s="145">
        <v>0.0</v>
      </c>
      <c r="T15" s="147" t="s">
        <v>37</v>
      </c>
      <c r="U15" s="161" t="s">
        <v>1340</v>
      </c>
      <c r="V15" s="164" t="s">
        <v>1145</v>
      </c>
      <c r="W15" s="149" t="s">
        <v>551</v>
      </c>
      <c r="X15" s="149" t="s">
        <v>551</v>
      </c>
      <c r="Y15" s="147" t="s">
        <v>82</v>
      </c>
      <c r="Z15" s="147" t="s">
        <v>27</v>
      </c>
      <c r="AA15" s="147" t="s">
        <v>11</v>
      </c>
      <c r="AB15" s="147" t="s">
        <v>1329</v>
      </c>
    </row>
    <row r="16">
      <c r="A16" s="156">
        <v>68.0</v>
      </c>
      <c r="B16" s="265" t="s">
        <v>82</v>
      </c>
      <c r="C16" s="207" t="s">
        <v>89</v>
      </c>
      <c r="D16" s="185" t="s">
        <v>34</v>
      </c>
      <c r="E16" s="265">
        <v>9745.0</v>
      </c>
      <c r="F16" s="265">
        <v>453.0</v>
      </c>
      <c r="G16" s="265">
        <v>0.0</v>
      </c>
      <c r="H16" s="265">
        <v>0.0</v>
      </c>
      <c r="I16" s="293">
        <v>438.0</v>
      </c>
      <c r="J16" s="265">
        <v>172.0</v>
      </c>
      <c r="K16" s="265">
        <v>40.0</v>
      </c>
      <c r="L16" s="265" t="s">
        <v>83</v>
      </c>
      <c r="M16" s="265">
        <v>33.0</v>
      </c>
      <c r="N16" s="248">
        <v>76.0</v>
      </c>
      <c r="O16" s="248">
        <v>72.0</v>
      </c>
      <c r="P16" s="265">
        <v>0.0</v>
      </c>
      <c r="Q16" s="265">
        <v>17.0</v>
      </c>
      <c r="R16" s="265">
        <v>0.0</v>
      </c>
      <c r="S16" s="265">
        <v>0.0</v>
      </c>
      <c r="T16" s="160" t="s">
        <v>37</v>
      </c>
      <c r="U16" s="164" t="s">
        <v>1341</v>
      </c>
      <c r="V16" s="148" t="s">
        <v>1342</v>
      </c>
      <c r="W16" s="148" t="s">
        <v>1343</v>
      </c>
      <c r="X16" s="149" t="s">
        <v>551</v>
      </c>
      <c r="Y16" s="147" t="s">
        <v>82</v>
      </c>
      <c r="Z16" s="147" t="s">
        <v>27</v>
      </c>
      <c r="AA16" s="147" t="s">
        <v>11</v>
      </c>
      <c r="AB16" s="147" t="s">
        <v>1344</v>
      </c>
    </row>
    <row r="17">
      <c r="A17" s="141">
        <v>127.0</v>
      </c>
      <c r="B17" s="142" t="s">
        <v>126</v>
      </c>
      <c r="C17" s="143" t="str">
        <f>HYPERLINK("https://azurlane.koumakan.jp/Renown","Renown")</f>
        <v>Renown</v>
      </c>
      <c r="D17" s="142" t="s">
        <v>28</v>
      </c>
      <c r="E17" s="165">
        <v>6356.0</v>
      </c>
      <c r="F17" s="145">
        <v>381.0</v>
      </c>
      <c r="G17" s="145">
        <v>0.0</v>
      </c>
      <c r="H17" s="145">
        <v>0.0</v>
      </c>
      <c r="I17" s="145">
        <v>282.0</v>
      </c>
      <c r="J17" s="145">
        <v>158.0</v>
      </c>
      <c r="K17" s="145">
        <v>38.0</v>
      </c>
      <c r="L17" s="145" t="s">
        <v>71</v>
      </c>
      <c r="M17" s="145">
        <v>32.0</v>
      </c>
      <c r="N17" s="145">
        <v>74.0</v>
      </c>
      <c r="O17" s="166">
        <v>85.0</v>
      </c>
      <c r="P17" s="145">
        <v>0.0</v>
      </c>
      <c r="Q17" s="145">
        <v>13.0</v>
      </c>
      <c r="R17" s="145">
        <v>0.0</v>
      </c>
      <c r="S17" s="145">
        <v>0.0</v>
      </c>
      <c r="T17" s="147" t="s">
        <v>104</v>
      </c>
      <c r="U17" s="164" t="s">
        <v>1345</v>
      </c>
      <c r="V17" s="149" t="s">
        <v>551</v>
      </c>
      <c r="W17" s="149" t="s">
        <v>551</v>
      </c>
      <c r="X17" s="149" t="s">
        <v>551</v>
      </c>
      <c r="Y17" s="147" t="s">
        <v>82</v>
      </c>
      <c r="Z17" s="147" t="s">
        <v>27</v>
      </c>
      <c r="AA17" s="147" t="s">
        <v>11</v>
      </c>
      <c r="AB17" s="147" t="s">
        <v>1346</v>
      </c>
    </row>
    <row r="18" ht="15.75" customHeight="1">
      <c r="A18" s="141">
        <v>128.0</v>
      </c>
      <c r="B18" s="142" t="s">
        <v>126</v>
      </c>
      <c r="C18" s="143" t="str">
        <f>HYPERLINK("https://azurlane.koumakan.jp/Repulse","Repulse")</f>
        <v>Repulse</v>
      </c>
      <c r="D18" s="142" t="s">
        <v>36</v>
      </c>
      <c r="E18" s="145">
        <v>6176.0</v>
      </c>
      <c r="F18" s="145">
        <v>359.0</v>
      </c>
      <c r="G18" s="145">
        <v>0.0</v>
      </c>
      <c r="H18" s="145">
        <v>0.0</v>
      </c>
      <c r="I18" s="145">
        <v>274.0</v>
      </c>
      <c r="J18" s="145">
        <v>155.0</v>
      </c>
      <c r="K18" s="145">
        <v>37.0</v>
      </c>
      <c r="L18" s="145" t="s">
        <v>71</v>
      </c>
      <c r="M18" s="145">
        <v>31.0</v>
      </c>
      <c r="N18" s="145">
        <v>70.0</v>
      </c>
      <c r="O18" s="145">
        <v>28.0</v>
      </c>
      <c r="P18" s="145">
        <v>0.0</v>
      </c>
      <c r="Q18" s="145">
        <v>12.0</v>
      </c>
      <c r="R18" s="145">
        <v>0.0</v>
      </c>
      <c r="S18" s="145">
        <v>0.0</v>
      </c>
      <c r="T18" s="147" t="s">
        <v>104</v>
      </c>
      <c r="U18" s="148" t="s">
        <v>1347</v>
      </c>
      <c r="V18" s="149" t="s">
        <v>551</v>
      </c>
      <c r="W18" s="149" t="s">
        <v>551</v>
      </c>
      <c r="X18" s="149" t="s">
        <v>551</v>
      </c>
      <c r="Y18" s="147" t="s">
        <v>82</v>
      </c>
      <c r="Z18" s="147" t="s">
        <v>27</v>
      </c>
      <c r="AA18" s="147" t="s">
        <v>11</v>
      </c>
      <c r="AB18" s="147" t="s">
        <v>1346</v>
      </c>
    </row>
    <row r="19" ht="15.75" customHeight="1">
      <c r="A19" s="141">
        <v>129.0</v>
      </c>
      <c r="B19" s="142" t="s">
        <v>126</v>
      </c>
      <c r="C19" s="143" t="str">
        <f>HYPERLINK("https://azurlane.koumakan.jp/Hood","Hood")</f>
        <v>Hood</v>
      </c>
      <c r="D19" s="142" t="s">
        <v>32</v>
      </c>
      <c r="E19" s="145">
        <v>8637.0</v>
      </c>
      <c r="F19" s="145">
        <v>347.0</v>
      </c>
      <c r="G19" s="145">
        <v>0.0</v>
      </c>
      <c r="H19" s="145">
        <v>0.0</v>
      </c>
      <c r="I19" s="145">
        <v>330.0</v>
      </c>
      <c r="J19" s="145">
        <v>161.0</v>
      </c>
      <c r="K19" s="145">
        <v>38.0</v>
      </c>
      <c r="L19" s="145" t="s">
        <v>71</v>
      </c>
      <c r="M19" s="145">
        <v>31.0</v>
      </c>
      <c r="N19" s="145">
        <v>70.0</v>
      </c>
      <c r="O19" s="145">
        <v>38.0</v>
      </c>
      <c r="P19" s="145">
        <v>0.0</v>
      </c>
      <c r="Q19" s="145">
        <v>14.0</v>
      </c>
      <c r="R19" s="145">
        <v>0.0</v>
      </c>
      <c r="S19" s="145">
        <v>0.0</v>
      </c>
      <c r="T19" s="147" t="s">
        <v>104</v>
      </c>
      <c r="U19" s="164" t="s">
        <v>1348</v>
      </c>
      <c r="V19" s="149" t="s">
        <v>551</v>
      </c>
      <c r="W19" s="149" t="s">
        <v>551</v>
      </c>
      <c r="X19" s="149" t="s">
        <v>551</v>
      </c>
      <c r="Y19" s="147" t="s">
        <v>82</v>
      </c>
      <c r="Z19" s="147" t="s">
        <v>27</v>
      </c>
      <c r="AA19" s="147" t="s">
        <v>11</v>
      </c>
      <c r="AB19" s="147" t="s">
        <v>997</v>
      </c>
    </row>
    <row r="20" ht="15.75" customHeight="1">
      <c r="A20" s="141">
        <v>130.0</v>
      </c>
      <c r="B20" s="142" t="s">
        <v>82</v>
      </c>
      <c r="C20" s="143" t="str">
        <f>HYPERLINK("https://azurlane.koumakan.jp/Queen_Elizabeth","Queen Elizabeth")</f>
        <v>Queen Elizabeth</v>
      </c>
      <c r="D20" s="142" t="s">
        <v>28</v>
      </c>
      <c r="E20" s="145">
        <v>7690.0</v>
      </c>
      <c r="F20" s="145">
        <v>408.0</v>
      </c>
      <c r="G20" s="145">
        <v>0.0</v>
      </c>
      <c r="H20" s="145">
        <v>0.0</v>
      </c>
      <c r="I20" s="145">
        <v>217.0</v>
      </c>
      <c r="J20" s="145">
        <v>147.0</v>
      </c>
      <c r="K20" s="145">
        <v>34.0</v>
      </c>
      <c r="L20" s="145" t="s">
        <v>83</v>
      </c>
      <c r="M20" s="145">
        <v>24.0</v>
      </c>
      <c r="N20" s="145">
        <v>70.0</v>
      </c>
      <c r="O20" s="145">
        <v>25.0</v>
      </c>
      <c r="P20" s="145">
        <v>0.0</v>
      </c>
      <c r="Q20" s="145">
        <v>14.0</v>
      </c>
      <c r="R20" s="145">
        <v>0.0</v>
      </c>
      <c r="S20" s="145">
        <v>0.0</v>
      </c>
      <c r="T20" s="147" t="s">
        <v>104</v>
      </c>
      <c r="U20" s="148" t="s">
        <v>1349</v>
      </c>
      <c r="V20" s="149" t="s">
        <v>551</v>
      </c>
      <c r="W20" s="149" t="s">
        <v>551</v>
      </c>
      <c r="X20" s="149" t="s">
        <v>551</v>
      </c>
      <c r="Y20" s="147" t="s">
        <v>82</v>
      </c>
      <c r="Z20" s="147" t="s">
        <v>677</v>
      </c>
      <c r="AA20" s="147" t="s">
        <v>11</v>
      </c>
      <c r="AB20" s="147" t="s">
        <v>1329</v>
      </c>
    </row>
    <row r="21" ht="15.75" customHeight="1">
      <c r="A21" s="141">
        <v>131.0</v>
      </c>
      <c r="B21" s="142" t="s">
        <v>82</v>
      </c>
      <c r="C21" s="143" t="str">
        <f>HYPERLINK("https://azurlane.koumakan.jp/Warspite","Warspite")</f>
        <v>Warspite</v>
      </c>
      <c r="D21" s="142" t="s">
        <v>32</v>
      </c>
      <c r="E21" s="165">
        <v>7968.0</v>
      </c>
      <c r="F21" s="145">
        <v>431.0</v>
      </c>
      <c r="G21" s="145">
        <v>0.0</v>
      </c>
      <c r="H21" s="145">
        <v>0.0</v>
      </c>
      <c r="I21" s="145">
        <v>224.0</v>
      </c>
      <c r="J21" s="145">
        <v>161.0</v>
      </c>
      <c r="K21" s="145">
        <v>34.0</v>
      </c>
      <c r="L21" s="145" t="s">
        <v>83</v>
      </c>
      <c r="M21" s="145">
        <v>24.0</v>
      </c>
      <c r="N21" s="145">
        <v>78.0</v>
      </c>
      <c r="O21" s="166">
        <v>90.0</v>
      </c>
      <c r="P21" s="145">
        <v>0.0</v>
      </c>
      <c r="Q21" s="145">
        <v>15.0</v>
      </c>
      <c r="R21" s="145">
        <v>0.0</v>
      </c>
      <c r="S21" s="145">
        <v>0.0</v>
      </c>
      <c r="T21" s="147" t="s">
        <v>104</v>
      </c>
      <c r="U21" s="164" t="s">
        <v>1350</v>
      </c>
      <c r="V21" s="149" t="s">
        <v>551</v>
      </c>
      <c r="W21" s="149" t="s">
        <v>551</v>
      </c>
      <c r="X21" s="149" t="s">
        <v>551</v>
      </c>
      <c r="Y21" s="147" t="s">
        <v>82</v>
      </c>
      <c r="Z21" s="147" t="s">
        <v>677</v>
      </c>
      <c r="AA21" s="147" t="s">
        <v>11</v>
      </c>
      <c r="AB21" s="147" t="s">
        <v>1329</v>
      </c>
    </row>
    <row r="22" ht="15.75" customHeight="1">
      <c r="A22" s="294">
        <v>131.1</v>
      </c>
      <c r="B22" s="295" t="s">
        <v>82</v>
      </c>
      <c r="C22" s="296" t="str">
        <f>HYPERLINK("https://azurlane.koumakan.jp/Warspite#Retrofit","Warspite (R)")</f>
        <v>Warspite (R)</v>
      </c>
      <c r="D22" s="142" t="s">
        <v>34</v>
      </c>
      <c r="E22" s="144">
        <v>8208.0</v>
      </c>
      <c r="F22" s="158">
        <v>451.0</v>
      </c>
      <c r="G22" s="167">
        <v>0.0</v>
      </c>
      <c r="H22" s="167">
        <v>0.0</v>
      </c>
      <c r="I22" s="158">
        <v>294.0</v>
      </c>
      <c r="J22" s="158">
        <v>181.0</v>
      </c>
      <c r="K22" s="158">
        <v>34.0</v>
      </c>
      <c r="L22" s="167" t="s">
        <v>83</v>
      </c>
      <c r="M22" s="167">
        <v>24.0</v>
      </c>
      <c r="N22" s="168">
        <v>103.0</v>
      </c>
      <c r="O22" s="146">
        <v>90.0</v>
      </c>
      <c r="P22" s="158">
        <v>99.0</v>
      </c>
      <c r="Q22" s="167">
        <v>15.0</v>
      </c>
      <c r="R22" s="167">
        <v>0.0</v>
      </c>
      <c r="S22" s="167">
        <v>0.0</v>
      </c>
      <c r="T22" s="147" t="s">
        <v>104</v>
      </c>
      <c r="U22" s="164" t="s">
        <v>1351</v>
      </c>
      <c r="V22" s="149" t="s">
        <v>551</v>
      </c>
      <c r="W22" s="149" t="s">
        <v>551</v>
      </c>
      <c r="X22" s="148" t="s">
        <v>1352</v>
      </c>
      <c r="Y22" s="147" t="s">
        <v>82</v>
      </c>
      <c r="Z22" s="147" t="s">
        <v>677</v>
      </c>
      <c r="AA22" s="147" t="s">
        <v>11</v>
      </c>
      <c r="AB22" s="147" t="s">
        <v>1353</v>
      </c>
    </row>
    <row r="23" ht="15.75" customHeight="1">
      <c r="A23" s="141">
        <v>132.0</v>
      </c>
      <c r="B23" s="142" t="s">
        <v>82</v>
      </c>
      <c r="C23" s="143" t="str">
        <f>HYPERLINK("https://azurlane.koumakan.jp/Nelson","Nelson")</f>
        <v>Nelson</v>
      </c>
      <c r="D23" s="142" t="s">
        <v>28</v>
      </c>
      <c r="E23" s="165">
        <v>7836.0</v>
      </c>
      <c r="F23" s="145">
        <v>412.0</v>
      </c>
      <c r="G23" s="145">
        <v>0.0</v>
      </c>
      <c r="H23" s="145">
        <v>0.0</v>
      </c>
      <c r="I23" s="145">
        <v>223.0</v>
      </c>
      <c r="J23" s="145">
        <v>151.0</v>
      </c>
      <c r="K23" s="145">
        <v>34.0</v>
      </c>
      <c r="L23" s="145" t="s">
        <v>83</v>
      </c>
      <c r="M23" s="145">
        <v>23.0</v>
      </c>
      <c r="N23" s="145">
        <v>72.0</v>
      </c>
      <c r="O23" s="166">
        <v>66.0</v>
      </c>
      <c r="P23" s="145">
        <v>0.0</v>
      </c>
      <c r="Q23" s="145">
        <v>14.0</v>
      </c>
      <c r="R23" s="145">
        <v>0.0</v>
      </c>
      <c r="S23" s="145">
        <v>0.0</v>
      </c>
      <c r="T23" s="147" t="s">
        <v>104</v>
      </c>
      <c r="U23" s="164" t="s">
        <v>1334</v>
      </c>
      <c r="V23" s="149" t="s">
        <v>551</v>
      </c>
      <c r="W23" s="149" t="s">
        <v>551</v>
      </c>
      <c r="X23" s="149" t="s">
        <v>551</v>
      </c>
      <c r="Y23" s="147" t="s">
        <v>82</v>
      </c>
      <c r="Z23" s="147" t="s">
        <v>677</v>
      </c>
      <c r="AA23" s="147" t="s">
        <v>11</v>
      </c>
      <c r="AB23" s="147" t="s">
        <v>1329</v>
      </c>
    </row>
    <row r="24" ht="15.75" customHeight="1">
      <c r="A24" s="141">
        <v>133.0</v>
      </c>
      <c r="B24" s="142" t="s">
        <v>82</v>
      </c>
      <c r="C24" s="143" t="str">
        <f>HYPERLINK("https://azurlane.koumakan.jp/Rodney","Rodney")</f>
        <v>Rodney</v>
      </c>
      <c r="D24" s="142" t="s">
        <v>28</v>
      </c>
      <c r="E24" s="165">
        <v>7811.0</v>
      </c>
      <c r="F24" s="145">
        <v>412.0</v>
      </c>
      <c r="G24" s="145">
        <v>0.0</v>
      </c>
      <c r="H24" s="145">
        <v>0.0</v>
      </c>
      <c r="I24" s="145">
        <v>223.0</v>
      </c>
      <c r="J24" s="145">
        <v>151.0</v>
      </c>
      <c r="K24" s="145">
        <v>32.0</v>
      </c>
      <c r="L24" s="145" t="s">
        <v>83</v>
      </c>
      <c r="M24" s="145">
        <v>23.0</v>
      </c>
      <c r="N24" s="145">
        <v>72.0</v>
      </c>
      <c r="O24" s="166">
        <v>81.0</v>
      </c>
      <c r="P24" s="145">
        <v>0.0</v>
      </c>
      <c r="Q24" s="145">
        <v>14.0</v>
      </c>
      <c r="R24" s="145">
        <v>0.0</v>
      </c>
      <c r="S24" s="145">
        <v>0.0</v>
      </c>
      <c r="T24" s="147" t="s">
        <v>104</v>
      </c>
      <c r="U24" s="164" t="s">
        <v>1334</v>
      </c>
      <c r="V24" s="149" t="s">
        <v>551</v>
      </c>
      <c r="W24" s="149" t="s">
        <v>551</v>
      </c>
      <c r="X24" s="149" t="s">
        <v>551</v>
      </c>
      <c r="Y24" s="147" t="s">
        <v>82</v>
      </c>
      <c r="Z24" s="147" t="s">
        <v>677</v>
      </c>
      <c r="AA24" s="147" t="s">
        <v>11</v>
      </c>
      <c r="AB24" s="147" t="s">
        <v>1329</v>
      </c>
    </row>
    <row r="25" ht="15.75" customHeight="1">
      <c r="A25" s="156">
        <v>134.0</v>
      </c>
      <c r="B25" s="149" t="s">
        <v>82</v>
      </c>
      <c r="C25" s="157" t="str">
        <f>HYPERLINK("https://azurlane.koumakan.jp/King_George_V","King George V")</f>
        <v>King George V</v>
      </c>
      <c r="D25" s="149" t="s">
        <v>32</v>
      </c>
      <c r="E25" s="144">
        <v>8159.0</v>
      </c>
      <c r="F25" s="158">
        <v>428.0</v>
      </c>
      <c r="G25" s="158">
        <v>0.0</v>
      </c>
      <c r="H25" s="158">
        <v>0.0</v>
      </c>
      <c r="I25" s="158">
        <v>270.0</v>
      </c>
      <c r="J25" s="158">
        <v>158.0</v>
      </c>
      <c r="K25" s="158">
        <v>36.0</v>
      </c>
      <c r="L25" s="158" t="s">
        <v>83</v>
      </c>
      <c r="M25" s="158">
        <v>28.0</v>
      </c>
      <c r="N25" s="158">
        <v>72.0</v>
      </c>
      <c r="O25" s="227">
        <v>77.0</v>
      </c>
      <c r="P25" s="158">
        <v>0.0</v>
      </c>
      <c r="Q25" s="158">
        <v>15.0</v>
      </c>
      <c r="R25" s="158">
        <v>0.0</v>
      </c>
      <c r="S25" s="158">
        <v>0.0</v>
      </c>
      <c r="T25" s="147" t="s">
        <v>104</v>
      </c>
      <c r="U25" s="164" t="s">
        <v>1354</v>
      </c>
      <c r="V25" s="148" t="s">
        <v>1355</v>
      </c>
      <c r="W25" s="149" t="s">
        <v>551</v>
      </c>
      <c r="X25" s="149" t="s">
        <v>551</v>
      </c>
      <c r="Y25" s="147" t="s">
        <v>82</v>
      </c>
      <c r="Z25" s="147" t="s">
        <v>677</v>
      </c>
      <c r="AA25" s="147" t="s">
        <v>11</v>
      </c>
      <c r="AB25" s="147" t="s">
        <v>1356</v>
      </c>
    </row>
    <row r="26" ht="15.75" customHeight="1">
      <c r="A26" s="141">
        <v>135.0</v>
      </c>
      <c r="B26" s="142" t="s">
        <v>82</v>
      </c>
      <c r="C26" s="143" t="str">
        <f>HYPERLINK("https://azurlane.koumakan.jp/Prince_of_Wales","Prince of Wales")</f>
        <v>Prince of Wales</v>
      </c>
      <c r="D26" s="142" t="s">
        <v>32</v>
      </c>
      <c r="E26" s="165">
        <v>8155.0</v>
      </c>
      <c r="F26" s="145">
        <v>428.0</v>
      </c>
      <c r="G26" s="145">
        <v>0.0</v>
      </c>
      <c r="H26" s="145">
        <v>0.0</v>
      </c>
      <c r="I26" s="145">
        <v>235.0</v>
      </c>
      <c r="J26" s="145">
        <v>158.0</v>
      </c>
      <c r="K26" s="145">
        <v>36.0</v>
      </c>
      <c r="L26" s="145" t="s">
        <v>83</v>
      </c>
      <c r="M26" s="145">
        <v>28.0</v>
      </c>
      <c r="N26" s="145">
        <v>71.0</v>
      </c>
      <c r="O26" s="166">
        <v>19.0</v>
      </c>
      <c r="P26" s="145">
        <v>0.0</v>
      </c>
      <c r="Q26" s="145">
        <v>15.0</v>
      </c>
      <c r="R26" s="145">
        <v>0.0</v>
      </c>
      <c r="S26" s="145">
        <v>0.0</v>
      </c>
      <c r="T26" s="147" t="s">
        <v>104</v>
      </c>
      <c r="U26" s="164" t="s">
        <v>1357</v>
      </c>
      <c r="V26" s="149" t="s">
        <v>551</v>
      </c>
      <c r="W26" s="149" t="s">
        <v>551</v>
      </c>
      <c r="X26" s="149" t="s">
        <v>551</v>
      </c>
      <c r="Y26" s="147" t="s">
        <v>82</v>
      </c>
      <c r="Z26" s="147" t="s">
        <v>677</v>
      </c>
      <c r="AA26" s="147" t="s">
        <v>11</v>
      </c>
      <c r="AB26" s="147" t="s">
        <v>1356</v>
      </c>
    </row>
    <row r="27" ht="15.75" customHeight="1">
      <c r="A27" s="141">
        <v>136.0</v>
      </c>
      <c r="B27" s="142" t="s">
        <v>82</v>
      </c>
      <c r="C27" s="143" t="str">
        <f>HYPERLINK("https://azurlane.koumakan.jp/Duke_of_York","Duke of York")</f>
        <v>Duke of York</v>
      </c>
      <c r="D27" s="142" t="s">
        <v>32</v>
      </c>
      <c r="E27" s="165">
        <v>8155.0</v>
      </c>
      <c r="F27" s="145">
        <v>426.0</v>
      </c>
      <c r="G27" s="145">
        <v>0.0</v>
      </c>
      <c r="H27" s="145">
        <v>0.0</v>
      </c>
      <c r="I27" s="145">
        <v>230.0</v>
      </c>
      <c r="J27" s="145">
        <v>155.0</v>
      </c>
      <c r="K27" s="145">
        <v>36.0</v>
      </c>
      <c r="L27" s="145" t="s">
        <v>83</v>
      </c>
      <c r="M27" s="145">
        <v>28.0</v>
      </c>
      <c r="N27" s="145">
        <v>72.0</v>
      </c>
      <c r="O27" s="166">
        <v>73.0</v>
      </c>
      <c r="P27" s="145">
        <v>0.0</v>
      </c>
      <c r="Q27" s="145">
        <v>15.0</v>
      </c>
      <c r="R27" s="145">
        <v>0.0</v>
      </c>
      <c r="S27" s="145">
        <v>0.0</v>
      </c>
      <c r="T27" s="147" t="s">
        <v>104</v>
      </c>
      <c r="U27" s="164" t="s">
        <v>1358</v>
      </c>
      <c r="V27" s="148" t="s">
        <v>1359</v>
      </c>
      <c r="W27" s="149" t="s">
        <v>551</v>
      </c>
      <c r="X27" s="149" t="s">
        <v>551</v>
      </c>
      <c r="Y27" s="147" t="s">
        <v>82</v>
      </c>
      <c r="Z27" s="147" t="s">
        <v>677</v>
      </c>
      <c r="AA27" s="147" t="s">
        <v>11</v>
      </c>
      <c r="AB27" s="147" t="s">
        <v>1356</v>
      </c>
    </row>
    <row r="28" ht="15.75" customHeight="1">
      <c r="A28" s="141">
        <v>149.0</v>
      </c>
      <c r="B28" s="142" t="s">
        <v>141</v>
      </c>
      <c r="C28" s="143" t="str">
        <f>HYPERLINK("https://azurlane.koumakan.jp/Erebus","Erebus")</f>
        <v>Erebus</v>
      </c>
      <c r="D28" s="142" t="s">
        <v>28</v>
      </c>
      <c r="E28" s="165">
        <v>3731.0</v>
      </c>
      <c r="F28" s="145">
        <v>286.0</v>
      </c>
      <c r="G28" s="145">
        <v>0.0</v>
      </c>
      <c r="H28" s="145">
        <v>0.0</v>
      </c>
      <c r="I28" s="145">
        <v>175.0</v>
      </c>
      <c r="J28" s="145">
        <v>147.0</v>
      </c>
      <c r="K28" s="168">
        <v>63.0</v>
      </c>
      <c r="L28" s="145" t="s">
        <v>29</v>
      </c>
      <c r="M28" s="145">
        <v>12.0</v>
      </c>
      <c r="N28" s="145">
        <v>83.0</v>
      </c>
      <c r="O28" s="166">
        <v>91.0</v>
      </c>
      <c r="P28" s="145">
        <v>0.0</v>
      </c>
      <c r="Q28" s="145">
        <v>10.0</v>
      </c>
      <c r="R28" s="145">
        <v>0.0</v>
      </c>
      <c r="S28" s="145">
        <v>0.0</v>
      </c>
      <c r="T28" s="147" t="s">
        <v>104</v>
      </c>
      <c r="U28" s="164" t="s">
        <v>1360</v>
      </c>
      <c r="V28" s="149" t="s">
        <v>551</v>
      </c>
      <c r="W28" s="149" t="s">
        <v>551</v>
      </c>
      <c r="X28" s="149" t="s">
        <v>551</v>
      </c>
      <c r="Y28" s="147" t="s">
        <v>82</v>
      </c>
      <c r="Z28" s="147" t="s">
        <v>27</v>
      </c>
      <c r="AA28" s="147" t="s">
        <v>11</v>
      </c>
      <c r="AB28" s="147" t="s">
        <v>1361</v>
      </c>
    </row>
    <row r="29" ht="15.75" customHeight="1">
      <c r="A29" s="141">
        <v>150.0</v>
      </c>
      <c r="B29" s="142" t="s">
        <v>141</v>
      </c>
      <c r="C29" s="143" t="str">
        <f>HYPERLINK("https://azurlane.koumakan.jp/Terror","Terror")</f>
        <v>Terror</v>
      </c>
      <c r="D29" s="142" t="s">
        <v>28</v>
      </c>
      <c r="E29" s="165">
        <v>3731.0</v>
      </c>
      <c r="F29" s="145">
        <v>286.0</v>
      </c>
      <c r="G29" s="145">
        <v>0.0</v>
      </c>
      <c r="H29" s="145">
        <v>0.0</v>
      </c>
      <c r="I29" s="145">
        <v>175.0</v>
      </c>
      <c r="J29" s="145">
        <v>147.0</v>
      </c>
      <c r="K29" s="168">
        <v>63.0</v>
      </c>
      <c r="L29" s="145" t="s">
        <v>29</v>
      </c>
      <c r="M29" s="145">
        <v>12.0</v>
      </c>
      <c r="N29" s="145">
        <v>83.0</v>
      </c>
      <c r="O29" s="166">
        <v>19.0</v>
      </c>
      <c r="P29" s="145">
        <v>0.0</v>
      </c>
      <c r="Q29" s="145">
        <v>10.0</v>
      </c>
      <c r="R29" s="145">
        <v>0.0</v>
      </c>
      <c r="S29" s="145">
        <v>0.0</v>
      </c>
      <c r="T29" s="147" t="s">
        <v>104</v>
      </c>
      <c r="U29" s="164" t="s">
        <v>1360</v>
      </c>
      <c r="V29" s="149" t="s">
        <v>551</v>
      </c>
      <c r="W29" s="149" t="s">
        <v>551</v>
      </c>
      <c r="X29" s="149" t="s">
        <v>551</v>
      </c>
      <c r="Y29" s="147" t="s">
        <v>82</v>
      </c>
      <c r="Z29" s="147" t="s">
        <v>27</v>
      </c>
      <c r="AA29" s="147" t="s">
        <v>11</v>
      </c>
      <c r="AB29" s="147" t="s">
        <v>1361</v>
      </c>
    </row>
    <row r="30" ht="15.75" customHeight="1">
      <c r="A30" s="141">
        <v>204.0</v>
      </c>
      <c r="B30" s="142" t="s">
        <v>126</v>
      </c>
      <c r="C30" s="143" t="str">
        <f>HYPERLINK("https://azurlane.koumakan.jp/Kongou","Kongou")</f>
        <v>Kongou</v>
      </c>
      <c r="D30" s="142" t="s">
        <v>28</v>
      </c>
      <c r="E30" s="165">
        <v>6762.0</v>
      </c>
      <c r="F30" s="145">
        <v>372.0</v>
      </c>
      <c r="G30" s="145">
        <v>0.0</v>
      </c>
      <c r="H30" s="145">
        <v>0.0</v>
      </c>
      <c r="I30" s="145">
        <v>279.0</v>
      </c>
      <c r="J30" s="145">
        <v>161.0</v>
      </c>
      <c r="K30" s="145">
        <v>38.0</v>
      </c>
      <c r="L30" s="145" t="s">
        <v>71</v>
      </c>
      <c r="M30" s="145">
        <v>30.0</v>
      </c>
      <c r="N30" s="145">
        <v>72.0</v>
      </c>
      <c r="O30" s="166">
        <v>43.0</v>
      </c>
      <c r="P30" s="145">
        <v>0.0</v>
      </c>
      <c r="Q30" s="145">
        <v>14.0</v>
      </c>
      <c r="R30" s="145">
        <v>0.0</v>
      </c>
      <c r="S30" s="145">
        <v>0.0</v>
      </c>
      <c r="T30" s="147" t="s">
        <v>143</v>
      </c>
      <c r="U30" s="148" t="s">
        <v>1362</v>
      </c>
      <c r="V30" s="149" t="s">
        <v>551</v>
      </c>
      <c r="W30" s="149" t="s">
        <v>551</v>
      </c>
      <c r="X30" s="149" t="s">
        <v>551</v>
      </c>
      <c r="Y30" s="147" t="s">
        <v>82</v>
      </c>
      <c r="Z30" s="147" t="s">
        <v>677</v>
      </c>
      <c r="AA30" s="147" t="s">
        <v>11</v>
      </c>
      <c r="AB30" s="147" t="s">
        <v>1363</v>
      </c>
    </row>
    <row r="31" ht="15.75" customHeight="1">
      <c r="A31" s="141">
        <v>205.0</v>
      </c>
      <c r="B31" s="142" t="s">
        <v>126</v>
      </c>
      <c r="C31" s="143" t="str">
        <f>HYPERLINK("https://azurlane.koumakan.jp/Hiei","Hiei")</f>
        <v>Hiei</v>
      </c>
      <c r="D31" s="142" t="s">
        <v>28</v>
      </c>
      <c r="E31" s="165">
        <v>6762.0</v>
      </c>
      <c r="F31" s="145">
        <v>372.0</v>
      </c>
      <c r="G31" s="145">
        <v>0.0</v>
      </c>
      <c r="H31" s="145">
        <v>0.0</v>
      </c>
      <c r="I31" s="145">
        <v>279.0</v>
      </c>
      <c r="J31" s="145">
        <v>162.0</v>
      </c>
      <c r="K31" s="145">
        <v>38.0</v>
      </c>
      <c r="L31" s="145" t="s">
        <v>71</v>
      </c>
      <c r="M31" s="145">
        <v>30.0</v>
      </c>
      <c r="N31" s="145">
        <v>70.0</v>
      </c>
      <c r="O31" s="166">
        <v>37.0</v>
      </c>
      <c r="P31" s="145">
        <v>0.0</v>
      </c>
      <c r="Q31" s="145">
        <v>14.0</v>
      </c>
      <c r="R31" s="145">
        <v>0.0</v>
      </c>
      <c r="S31" s="145">
        <v>0.0</v>
      </c>
      <c r="T31" s="147" t="s">
        <v>143</v>
      </c>
      <c r="U31" s="148" t="s">
        <v>1364</v>
      </c>
      <c r="V31" s="149" t="s">
        <v>551</v>
      </c>
      <c r="W31" s="149" t="s">
        <v>551</v>
      </c>
      <c r="X31" s="149" t="s">
        <v>551</v>
      </c>
      <c r="Y31" s="147" t="s">
        <v>82</v>
      </c>
      <c r="Z31" s="147" t="s">
        <v>677</v>
      </c>
      <c r="AA31" s="147" t="s">
        <v>11</v>
      </c>
      <c r="AB31" s="147" t="s">
        <v>1363</v>
      </c>
    </row>
    <row r="32" ht="15.75" customHeight="1">
      <c r="A32" s="141">
        <v>206.0</v>
      </c>
      <c r="B32" s="142" t="s">
        <v>126</v>
      </c>
      <c r="C32" s="143" t="str">
        <f>HYPERLINK("https://azurlane.koumakan.jp/Haruna","Haruna")</f>
        <v>Haruna</v>
      </c>
      <c r="D32" s="142" t="s">
        <v>28</v>
      </c>
      <c r="E32" s="165">
        <v>6762.0</v>
      </c>
      <c r="F32" s="145">
        <v>365.0</v>
      </c>
      <c r="G32" s="145">
        <v>0.0</v>
      </c>
      <c r="H32" s="145">
        <v>0.0</v>
      </c>
      <c r="I32" s="145">
        <v>279.0</v>
      </c>
      <c r="J32" s="145">
        <v>161.0</v>
      </c>
      <c r="K32" s="145">
        <v>38.0</v>
      </c>
      <c r="L32" s="145" t="s">
        <v>71</v>
      </c>
      <c r="M32" s="145">
        <v>30.0</v>
      </c>
      <c r="N32" s="145">
        <v>70.0</v>
      </c>
      <c r="O32" s="166">
        <v>47.0</v>
      </c>
      <c r="P32" s="145">
        <v>0.0</v>
      </c>
      <c r="Q32" s="145">
        <v>14.0</v>
      </c>
      <c r="R32" s="145">
        <v>0.0</v>
      </c>
      <c r="S32" s="145">
        <v>0.0</v>
      </c>
      <c r="T32" s="147" t="s">
        <v>143</v>
      </c>
      <c r="U32" s="164" t="s">
        <v>1365</v>
      </c>
      <c r="V32" s="149" t="s">
        <v>551</v>
      </c>
      <c r="W32" s="149" t="s">
        <v>551</v>
      </c>
      <c r="X32" s="149" t="s">
        <v>551</v>
      </c>
      <c r="Y32" s="147" t="s">
        <v>82</v>
      </c>
      <c r="Z32" s="147" t="s">
        <v>677</v>
      </c>
      <c r="AA32" s="147" t="s">
        <v>11</v>
      </c>
      <c r="AB32" s="147" t="s">
        <v>1363</v>
      </c>
    </row>
    <row r="33" ht="15.75" customHeight="1">
      <c r="A33" s="141">
        <v>207.0</v>
      </c>
      <c r="B33" s="142" t="s">
        <v>126</v>
      </c>
      <c r="C33" s="143" t="str">
        <f>HYPERLINK("https://azurlane.koumakan.jp/Kirishima","Kirishima")</f>
        <v>Kirishima</v>
      </c>
      <c r="D33" s="142" t="s">
        <v>28</v>
      </c>
      <c r="E33" s="165">
        <v>6762.0</v>
      </c>
      <c r="F33" s="145">
        <v>372.0</v>
      </c>
      <c r="G33" s="145">
        <v>0.0</v>
      </c>
      <c r="H33" s="145">
        <v>0.0</v>
      </c>
      <c r="I33" s="145">
        <v>279.0</v>
      </c>
      <c r="J33" s="145">
        <v>162.0</v>
      </c>
      <c r="K33" s="145">
        <v>38.0</v>
      </c>
      <c r="L33" s="145" t="s">
        <v>71</v>
      </c>
      <c r="M33" s="145">
        <v>30.0</v>
      </c>
      <c r="N33" s="145">
        <v>70.0</v>
      </c>
      <c r="O33" s="166">
        <v>37.0</v>
      </c>
      <c r="P33" s="145">
        <v>0.0</v>
      </c>
      <c r="Q33" s="145">
        <v>14.0</v>
      </c>
      <c r="R33" s="145">
        <v>0.0</v>
      </c>
      <c r="S33" s="145">
        <v>0.0</v>
      </c>
      <c r="T33" s="147" t="s">
        <v>143</v>
      </c>
      <c r="U33" s="164" t="s">
        <v>1366</v>
      </c>
      <c r="V33" s="149" t="s">
        <v>551</v>
      </c>
      <c r="W33" s="149" t="s">
        <v>551</v>
      </c>
      <c r="X33" s="149" t="s">
        <v>551</v>
      </c>
      <c r="Y33" s="147" t="s">
        <v>82</v>
      </c>
      <c r="Z33" s="147" t="s">
        <v>677</v>
      </c>
      <c r="AA33" s="147" t="s">
        <v>11</v>
      </c>
      <c r="AB33" s="147" t="s">
        <v>1363</v>
      </c>
    </row>
    <row r="34" ht="15.75" customHeight="1">
      <c r="A34" s="141">
        <v>208.0</v>
      </c>
      <c r="B34" s="142" t="s">
        <v>82</v>
      </c>
      <c r="C34" s="143" t="str">
        <f>HYPERLINK("https://azurlane.koumakan.jp/Fusou","Fusou")</f>
        <v>Fusou</v>
      </c>
      <c r="D34" s="142" t="s">
        <v>36</v>
      </c>
      <c r="E34" s="165">
        <v>7081.0</v>
      </c>
      <c r="F34" s="145">
        <v>395.0</v>
      </c>
      <c r="G34" s="145">
        <v>0.0</v>
      </c>
      <c r="H34" s="145">
        <v>0.0</v>
      </c>
      <c r="I34" s="145">
        <v>227.0</v>
      </c>
      <c r="J34" s="145">
        <v>140.0</v>
      </c>
      <c r="K34" s="145">
        <v>32.0</v>
      </c>
      <c r="L34" s="145" t="s">
        <v>83</v>
      </c>
      <c r="M34" s="145">
        <v>23.0</v>
      </c>
      <c r="N34" s="145">
        <v>68.0</v>
      </c>
      <c r="O34" s="166">
        <v>13.0</v>
      </c>
      <c r="P34" s="145">
        <v>0.0</v>
      </c>
      <c r="Q34" s="145">
        <v>13.0</v>
      </c>
      <c r="R34" s="145">
        <v>0.0</v>
      </c>
      <c r="S34" s="145">
        <v>0.0</v>
      </c>
      <c r="T34" s="147" t="s">
        <v>143</v>
      </c>
      <c r="U34" s="164" t="s">
        <v>1010</v>
      </c>
      <c r="V34" s="149" t="s">
        <v>551</v>
      </c>
      <c r="W34" s="149" t="s">
        <v>551</v>
      </c>
      <c r="X34" s="149" t="s">
        <v>551</v>
      </c>
      <c r="Y34" s="147" t="s">
        <v>82</v>
      </c>
      <c r="Z34" s="147" t="s">
        <v>677</v>
      </c>
      <c r="AA34" s="147" t="s">
        <v>11</v>
      </c>
      <c r="AB34" s="147" t="s">
        <v>1367</v>
      </c>
    </row>
    <row r="35" ht="15.75" customHeight="1">
      <c r="A35" s="141">
        <v>208.1</v>
      </c>
      <c r="B35" s="142" t="s">
        <v>175</v>
      </c>
      <c r="C35" s="143" t="str">
        <f>HYPERLINK("https://azurlane.koumakan.jp/Fusou#Retrofit","Fusou (R)")</f>
        <v>Fusou (R)</v>
      </c>
      <c r="D35" s="142" t="s">
        <v>28</v>
      </c>
      <c r="E35" s="144">
        <v>7431.0</v>
      </c>
      <c r="F35" s="145">
        <v>394.0</v>
      </c>
      <c r="G35" s="145">
        <v>0.0</v>
      </c>
      <c r="H35" s="145">
        <v>205.0</v>
      </c>
      <c r="I35" s="145">
        <v>309.0</v>
      </c>
      <c r="J35" s="145">
        <v>136.0</v>
      </c>
      <c r="K35" s="145">
        <v>32.0</v>
      </c>
      <c r="L35" s="145" t="s">
        <v>83</v>
      </c>
      <c r="M35" s="145">
        <v>23.0</v>
      </c>
      <c r="N35" s="145">
        <v>80.0</v>
      </c>
      <c r="O35" s="146">
        <v>13.0</v>
      </c>
      <c r="P35" s="145">
        <v>0.0</v>
      </c>
      <c r="Q35" s="145">
        <v>13.0</v>
      </c>
      <c r="R35" s="145">
        <v>0.0</v>
      </c>
      <c r="S35" s="145">
        <v>0.0</v>
      </c>
      <c r="T35" s="147" t="s">
        <v>143</v>
      </c>
      <c r="U35" s="164" t="s">
        <v>1010</v>
      </c>
      <c r="V35" s="149" t="s">
        <v>551</v>
      </c>
      <c r="W35" s="149" t="s">
        <v>551</v>
      </c>
      <c r="X35" s="164" t="s">
        <v>1368</v>
      </c>
      <c r="Y35" s="147" t="s">
        <v>82</v>
      </c>
      <c r="Z35" s="147" t="s">
        <v>1369</v>
      </c>
      <c r="AA35" s="147" t="s">
        <v>11</v>
      </c>
      <c r="AB35" s="147" t="s">
        <v>1370</v>
      </c>
    </row>
    <row r="36" ht="15.75" customHeight="1">
      <c r="A36" s="141">
        <v>209.0</v>
      </c>
      <c r="B36" s="142" t="s">
        <v>82</v>
      </c>
      <c r="C36" s="143" t="str">
        <f>HYPERLINK("https://azurlane.koumakan.jp/Yamashiro","Yamashiro")</f>
        <v>Yamashiro</v>
      </c>
      <c r="D36" s="142" t="s">
        <v>36</v>
      </c>
      <c r="E36" s="165">
        <v>7482.0</v>
      </c>
      <c r="F36" s="145">
        <v>395.0</v>
      </c>
      <c r="G36" s="145">
        <v>0.0</v>
      </c>
      <c r="H36" s="145">
        <v>0.0</v>
      </c>
      <c r="I36" s="145">
        <v>227.0</v>
      </c>
      <c r="J36" s="145">
        <v>140.0</v>
      </c>
      <c r="K36" s="145">
        <v>32.0</v>
      </c>
      <c r="L36" s="145" t="s">
        <v>83</v>
      </c>
      <c r="M36" s="145">
        <v>23.0</v>
      </c>
      <c r="N36" s="145">
        <v>68.0</v>
      </c>
      <c r="O36" s="166">
        <v>14.0</v>
      </c>
      <c r="P36" s="145">
        <v>0.0</v>
      </c>
      <c r="Q36" s="145">
        <v>13.0</v>
      </c>
      <c r="R36" s="145">
        <v>0.0</v>
      </c>
      <c r="S36" s="145">
        <v>0.0</v>
      </c>
      <c r="T36" s="147" t="s">
        <v>143</v>
      </c>
      <c r="U36" s="164" t="s">
        <v>1010</v>
      </c>
      <c r="V36" s="149" t="s">
        <v>551</v>
      </c>
      <c r="W36" s="149" t="s">
        <v>551</v>
      </c>
      <c r="X36" s="149" t="s">
        <v>551</v>
      </c>
      <c r="Y36" s="147" t="s">
        <v>82</v>
      </c>
      <c r="Z36" s="147" t="s">
        <v>677</v>
      </c>
      <c r="AA36" s="147" t="s">
        <v>11</v>
      </c>
      <c r="AB36" s="147" t="s">
        <v>1367</v>
      </c>
    </row>
    <row r="37" ht="15.75" customHeight="1">
      <c r="A37" s="141">
        <v>209.1</v>
      </c>
      <c r="B37" s="142" t="s">
        <v>175</v>
      </c>
      <c r="C37" s="143" t="str">
        <f>HYPERLINK("https://azurlane.koumakan.jp/Yamashiro#Retrofit","Yamashiro (R)")</f>
        <v>Yamashiro (R)</v>
      </c>
      <c r="D37" s="142" t="s">
        <v>28</v>
      </c>
      <c r="E37" s="158">
        <v>7832.0</v>
      </c>
      <c r="F37" s="145">
        <v>394.0</v>
      </c>
      <c r="G37" s="145">
        <v>0.0</v>
      </c>
      <c r="H37" s="145">
        <v>205.0</v>
      </c>
      <c r="I37" s="145">
        <v>309.0</v>
      </c>
      <c r="J37" s="145">
        <v>136.0</v>
      </c>
      <c r="K37" s="145">
        <v>32.0</v>
      </c>
      <c r="L37" s="145" t="s">
        <v>83</v>
      </c>
      <c r="M37" s="145">
        <v>23.0</v>
      </c>
      <c r="N37" s="145">
        <v>80.0</v>
      </c>
      <c r="O37" s="169">
        <v>14.0</v>
      </c>
      <c r="P37" s="145">
        <v>0.0</v>
      </c>
      <c r="Q37" s="145">
        <v>13.0</v>
      </c>
      <c r="R37" s="145">
        <v>0.0</v>
      </c>
      <c r="S37" s="145">
        <v>0.0</v>
      </c>
      <c r="T37" s="147" t="s">
        <v>143</v>
      </c>
      <c r="U37" s="164" t="s">
        <v>1010</v>
      </c>
      <c r="V37" s="149" t="s">
        <v>551</v>
      </c>
      <c r="W37" s="149" t="s">
        <v>551</v>
      </c>
      <c r="X37" s="164" t="s">
        <v>1368</v>
      </c>
      <c r="Y37" s="147" t="s">
        <v>82</v>
      </c>
      <c r="Z37" s="147" t="s">
        <v>1369</v>
      </c>
      <c r="AA37" s="147" t="s">
        <v>11</v>
      </c>
      <c r="AB37" s="147" t="s">
        <v>1370</v>
      </c>
    </row>
    <row r="38" ht="15.75" customHeight="1">
      <c r="A38" s="141">
        <v>210.0</v>
      </c>
      <c r="B38" s="142" t="s">
        <v>82</v>
      </c>
      <c r="C38" s="143" t="str">
        <f>HYPERLINK("https://azurlane.koumakan.jp/Ise","Ise")</f>
        <v>Ise</v>
      </c>
      <c r="D38" s="142" t="s">
        <v>36</v>
      </c>
      <c r="E38" s="165">
        <v>7294.0</v>
      </c>
      <c r="F38" s="145">
        <v>403.0</v>
      </c>
      <c r="G38" s="145">
        <v>0.0</v>
      </c>
      <c r="H38" s="145">
        <v>0.0</v>
      </c>
      <c r="I38" s="145">
        <v>234.0</v>
      </c>
      <c r="J38" s="145">
        <v>143.0</v>
      </c>
      <c r="K38" s="145">
        <v>32.0</v>
      </c>
      <c r="L38" s="145" t="s">
        <v>83</v>
      </c>
      <c r="M38" s="145">
        <v>23.0</v>
      </c>
      <c r="N38" s="145">
        <v>72.0</v>
      </c>
      <c r="O38" s="166">
        <v>60.0</v>
      </c>
      <c r="P38" s="145">
        <v>0.0</v>
      </c>
      <c r="Q38" s="145">
        <v>13.0</v>
      </c>
      <c r="R38" s="145">
        <v>0.0</v>
      </c>
      <c r="S38" s="145">
        <v>0.0</v>
      </c>
      <c r="T38" s="147" t="s">
        <v>143</v>
      </c>
      <c r="U38" s="164" t="s">
        <v>1010</v>
      </c>
      <c r="V38" s="149" t="s">
        <v>551</v>
      </c>
      <c r="W38" s="149" t="s">
        <v>551</v>
      </c>
      <c r="X38" s="149" t="s">
        <v>551</v>
      </c>
      <c r="Y38" s="147" t="s">
        <v>82</v>
      </c>
      <c r="Z38" s="147" t="s">
        <v>677</v>
      </c>
      <c r="AA38" s="147" t="s">
        <v>11</v>
      </c>
      <c r="AB38" s="147" t="s">
        <v>1371</v>
      </c>
    </row>
    <row r="39" ht="15.75" customHeight="1">
      <c r="A39" s="141">
        <v>210.1</v>
      </c>
      <c r="B39" s="142" t="s">
        <v>175</v>
      </c>
      <c r="C39" s="143" t="str">
        <f>HYPERLINK("https://azurlane.koumakan.jp/Ise#Retrofit","Ise (R)")</f>
        <v>Ise (R)</v>
      </c>
      <c r="D39" s="142" t="s">
        <v>28</v>
      </c>
      <c r="E39" s="165">
        <v>7413.0</v>
      </c>
      <c r="F39" s="145">
        <v>394.0</v>
      </c>
      <c r="G39" s="145">
        <v>0.0</v>
      </c>
      <c r="H39" s="145">
        <v>278.0</v>
      </c>
      <c r="I39" s="145">
        <v>380.0</v>
      </c>
      <c r="J39" s="145">
        <v>134.0</v>
      </c>
      <c r="K39" s="145">
        <v>32.0</v>
      </c>
      <c r="L39" s="145" t="s">
        <v>83</v>
      </c>
      <c r="M39" s="145">
        <v>23.0</v>
      </c>
      <c r="N39" s="145">
        <v>89.0</v>
      </c>
      <c r="O39" s="166">
        <v>60.0</v>
      </c>
      <c r="P39" s="145">
        <v>0.0</v>
      </c>
      <c r="Q39" s="145">
        <v>13.0</v>
      </c>
      <c r="R39" s="145">
        <v>0.0</v>
      </c>
      <c r="S39" s="145">
        <v>0.0</v>
      </c>
      <c r="T39" s="147" t="s">
        <v>143</v>
      </c>
      <c r="U39" s="164" t="s">
        <v>1010</v>
      </c>
      <c r="V39" s="149" t="s">
        <v>551</v>
      </c>
      <c r="W39" s="149" t="s">
        <v>551</v>
      </c>
      <c r="X39" s="164" t="s">
        <v>1372</v>
      </c>
      <c r="Y39" s="147" t="s">
        <v>82</v>
      </c>
      <c r="Z39" s="147" t="s">
        <v>1369</v>
      </c>
      <c r="AA39" s="147" t="s">
        <v>11</v>
      </c>
      <c r="AB39" s="147" t="s">
        <v>1373</v>
      </c>
    </row>
    <row r="40" ht="15.75" customHeight="1">
      <c r="A40" s="141">
        <v>211.0</v>
      </c>
      <c r="B40" s="142" t="s">
        <v>82</v>
      </c>
      <c r="C40" s="143" t="str">
        <f>HYPERLINK("https://azurlane.koumakan.jp/Hyuuga","Hyuuga")</f>
        <v>Hyuuga</v>
      </c>
      <c r="D40" s="142" t="s">
        <v>36</v>
      </c>
      <c r="E40" s="165">
        <v>7294.0</v>
      </c>
      <c r="F40" s="145">
        <v>403.0</v>
      </c>
      <c r="G40" s="145">
        <v>0.0</v>
      </c>
      <c r="H40" s="145">
        <v>0.0</v>
      </c>
      <c r="I40" s="145">
        <v>234.0</v>
      </c>
      <c r="J40" s="145">
        <v>143.0</v>
      </c>
      <c r="K40" s="145">
        <v>32.0</v>
      </c>
      <c r="L40" s="145" t="s">
        <v>83</v>
      </c>
      <c r="M40" s="145">
        <v>23.0</v>
      </c>
      <c r="N40" s="145">
        <v>72.0</v>
      </c>
      <c r="O40" s="166">
        <v>60.0</v>
      </c>
      <c r="P40" s="145">
        <v>0.0</v>
      </c>
      <c r="Q40" s="145">
        <v>13.0</v>
      </c>
      <c r="R40" s="145">
        <v>0.0</v>
      </c>
      <c r="S40" s="145">
        <v>0.0</v>
      </c>
      <c r="T40" s="147" t="s">
        <v>143</v>
      </c>
      <c r="U40" s="164" t="s">
        <v>1010</v>
      </c>
      <c r="V40" s="148" t="s">
        <v>1374</v>
      </c>
      <c r="W40" s="149" t="s">
        <v>551</v>
      </c>
      <c r="X40" s="149" t="s">
        <v>551</v>
      </c>
      <c r="Y40" s="147" t="s">
        <v>82</v>
      </c>
      <c r="Z40" s="147" t="s">
        <v>677</v>
      </c>
      <c r="AA40" s="147" t="s">
        <v>11</v>
      </c>
      <c r="AB40" s="147" t="s">
        <v>1375</v>
      </c>
    </row>
    <row r="41" ht="15.75" customHeight="1">
      <c r="A41" s="141">
        <v>211.1</v>
      </c>
      <c r="B41" s="142" t="s">
        <v>175</v>
      </c>
      <c r="C41" s="143" t="str">
        <f>HYPERLINK("https://azurlane.koumakan.jp/Hyuuga#Retrofit","Hyuuga (R)")</f>
        <v>Hyuuga (R)</v>
      </c>
      <c r="D41" s="142" t="s">
        <v>28</v>
      </c>
      <c r="E41" s="144">
        <v>7413.0</v>
      </c>
      <c r="F41" s="145">
        <v>394.0</v>
      </c>
      <c r="G41" s="145">
        <v>0.0</v>
      </c>
      <c r="H41" s="145">
        <v>278.0</v>
      </c>
      <c r="I41" s="145">
        <v>380.0</v>
      </c>
      <c r="J41" s="145">
        <v>134.0</v>
      </c>
      <c r="K41" s="145">
        <v>32.0</v>
      </c>
      <c r="L41" s="145" t="s">
        <v>83</v>
      </c>
      <c r="M41" s="145">
        <v>23.0</v>
      </c>
      <c r="N41" s="145">
        <v>89.0</v>
      </c>
      <c r="O41" s="166">
        <v>60.0</v>
      </c>
      <c r="P41" s="145">
        <v>0.0</v>
      </c>
      <c r="Q41" s="145">
        <v>13.0</v>
      </c>
      <c r="R41" s="145">
        <v>0.0</v>
      </c>
      <c r="S41" s="145">
        <v>0.0</v>
      </c>
      <c r="T41" s="147" t="s">
        <v>143</v>
      </c>
      <c r="U41" s="164" t="s">
        <v>1010</v>
      </c>
      <c r="V41" s="148" t="s">
        <v>1374</v>
      </c>
      <c r="W41" s="149" t="s">
        <v>551</v>
      </c>
      <c r="X41" s="164" t="s">
        <v>1376</v>
      </c>
      <c r="Y41" s="147" t="s">
        <v>82</v>
      </c>
      <c r="Z41" s="147" t="s">
        <v>1369</v>
      </c>
      <c r="AA41" s="147" t="s">
        <v>11</v>
      </c>
      <c r="AB41" s="147" t="s">
        <v>1377</v>
      </c>
    </row>
    <row r="42" ht="15.75" customHeight="1">
      <c r="A42" s="141">
        <v>212.0</v>
      </c>
      <c r="B42" s="142" t="s">
        <v>82</v>
      </c>
      <c r="C42" s="143" t="str">
        <f>HYPERLINK("https://azurlane.koumakan.jp/Nagato","Nagato")</f>
        <v>Nagato</v>
      </c>
      <c r="D42" s="142" t="s">
        <v>32</v>
      </c>
      <c r="E42" s="165">
        <v>8311.0</v>
      </c>
      <c r="F42" s="145">
        <v>424.0</v>
      </c>
      <c r="G42" s="145">
        <v>0.0</v>
      </c>
      <c r="H42" s="145">
        <v>0.0</v>
      </c>
      <c r="I42" s="145">
        <v>186.0</v>
      </c>
      <c r="J42" s="145">
        <v>148.0</v>
      </c>
      <c r="K42" s="145">
        <v>38.0</v>
      </c>
      <c r="L42" s="145" t="s">
        <v>83</v>
      </c>
      <c r="M42" s="145">
        <v>25.0</v>
      </c>
      <c r="N42" s="145">
        <v>72.0</v>
      </c>
      <c r="O42" s="166">
        <v>71.0</v>
      </c>
      <c r="P42" s="145">
        <v>0.0</v>
      </c>
      <c r="Q42" s="145">
        <v>15.0</v>
      </c>
      <c r="R42" s="145">
        <v>0.0</v>
      </c>
      <c r="S42" s="145">
        <v>0.0</v>
      </c>
      <c r="T42" s="147" t="s">
        <v>143</v>
      </c>
      <c r="U42" s="164" t="s">
        <v>1378</v>
      </c>
      <c r="V42" s="148" t="s">
        <v>1379</v>
      </c>
      <c r="W42" s="149" t="s">
        <v>551</v>
      </c>
      <c r="X42" s="149" t="s">
        <v>551</v>
      </c>
      <c r="Y42" s="147" t="s">
        <v>82</v>
      </c>
      <c r="Z42" s="147" t="s">
        <v>677</v>
      </c>
      <c r="AA42" s="147" t="s">
        <v>11</v>
      </c>
      <c r="AB42" s="147" t="s">
        <v>1380</v>
      </c>
    </row>
    <row r="43" ht="15.75" customHeight="1">
      <c r="A43" s="141">
        <v>213.0</v>
      </c>
      <c r="B43" s="142" t="s">
        <v>82</v>
      </c>
      <c r="C43" s="143" t="str">
        <f>HYPERLINK("https://azurlane.koumakan.jp/Mutsu","Mutsu")</f>
        <v>Mutsu</v>
      </c>
      <c r="D43" s="142" t="s">
        <v>28</v>
      </c>
      <c r="E43" s="165">
        <v>8084.0</v>
      </c>
      <c r="F43" s="145">
        <v>415.0</v>
      </c>
      <c r="G43" s="145">
        <v>0.0</v>
      </c>
      <c r="H43" s="145">
        <v>0.0</v>
      </c>
      <c r="I43" s="145">
        <v>189.0</v>
      </c>
      <c r="J43" s="145">
        <v>147.0</v>
      </c>
      <c r="K43" s="145">
        <v>36.0</v>
      </c>
      <c r="L43" s="145" t="s">
        <v>83</v>
      </c>
      <c r="M43" s="145">
        <v>25.0</v>
      </c>
      <c r="N43" s="145">
        <v>73.0</v>
      </c>
      <c r="O43" s="166">
        <v>34.0</v>
      </c>
      <c r="P43" s="145">
        <v>0.0</v>
      </c>
      <c r="Q43" s="145">
        <v>14.0</v>
      </c>
      <c r="R43" s="145">
        <v>0.0</v>
      </c>
      <c r="S43" s="145">
        <v>0.0</v>
      </c>
      <c r="T43" s="147" t="s">
        <v>143</v>
      </c>
      <c r="U43" s="164" t="s">
        <v>1378</v>
      </c>
      <c r="V43" s="149" t="s">
        <v>551</v>
      </c>
      <c r="W43" s="149" t="s">
        <v>551</v>
      </c>
      <c r="X43" s="149" t="s">
        <v>551</v>
      </c>
      <c r="Y43" s="147" t="s">
        <v>82</v>
      </c>
      <c r="Z43" s="147" t="s">
        <v>677</v>
      </c>
      <c r="AA43" s="147" t="s">
        <v>11</v>
      </c>
      <c r="AB43" s="147" t="s">
        <v>1381</v>
      </c>
    </row>
    <row r="44" ht="15.75" customHeight="1">
      <c r="A44" s="156">
        <v>214.0</v>
      </c>
      <c r="B44" s="259" t="s">
        <v>82</v>
      </c>
      <c r="C44" s="152" t="s">
        <v>177</v>
      </c>
      <c r="D44" s="142" t="s">
        <v>32</v>
      </c>
      <c r="E44" s="265">
        <v>8134.0</v>
      </c>
      <c r="F44" s="259">
        <v>426.0</v>
      </c>
      <c r="G44" s="297">
        <v>287.0</v>
      </c>
      <c r="H44" s="259">
        <v>0.0</v>
      </c>
      <c r="I44" s="259">
        <v>375.0</v>
      </c>
      <c r="J44" s="259">
        <v>147.0</v>
      </c>
      <c r="K44" s="259">
        <v>38.0</v>
      </c>
      <c r="L44" s="259" t="s">
        <v>83</v>
      </c>
      <c r="M44" s="259">
        <v>28.0</v>
      </c>
      <c r="N44" s="262">
        <v>73.0</v>
      </c>
      <c r="O44" s="263">
        <v>39.0</v>
      </c>
      <c r="P44" s="259">
        <v>0.0</v>
      </c>
      <c r="Q44" s="259">
        <v>15.0</v>
      </c>
      <c r="R44" s="259">
        <v>0.0</v>
      </c>
      <c r="S44" s="259">
        <v>0.0</v>
      </c>
      <c r="T44" s="147" t="s">
        <v>143</v>
      </c>
      <c r="U44" s="164" t="s">
        <v>1382</v>
      </c>
      <c r="V44" s="148" t="s">
        <v>1383</v>
      </c>
      <c r="W44" s="149" t="s">
        <v>551</v>
      </c>
      <c r="X44" s="149" t="s">
        <v>551</v>
      </c>
      <c r="Y44" s="147" t="s">
        <v>82</v>
      </c>
      <c r="Z44" s="147" t="s">
        <v>677</v>
      </c>
      <c r="AA44" s="147" t="s">
        <v>11</v>
      </c>
      <c r="AB44" s="147" t="s">
        <v>1356</v>
      </c>
    </row>
    <row r="45" ht="15.75" customHeight="1">
      <c r="A45" s="156">
        <v>215.0</v>
      </c>
      <c r="B45" s="259" t="s">
        <v>82</v>
      </c>
      <c r="C45" s="152" t="str">
        <f>HYPERLINK("https://azurlane.koumakan.jp/Tosa","Tosa")</f>
        <v>Tosa</v>
      </c>
      <c r="D45" s="142" t="s">
        <v>32</v>
      </c>
      <c r="E45" s="260">
        <v>8248.0</v>
      </c>
      <c r="F45" s="261">
        <v>429.0</v>
      </c>
      <c r="G45" s="261">
        <v>220.0</v>
      </c>
      <c r="H45" s="261">
        <v>0.0</v>
      </c>
      <c r="I45" s="261">
        <v>204.0</v>
      </c>
      <c r="J45" s="261">
        <v>147.0</v>
      </c>
      <c r="K45" s="261">
        <v>38.0</v>
      </c>
      <c r="L45" s="261" t="s">
        <v>83</v>
      </c>
      <c r="M45" s="261">
        <v>26.0</v>
      </c>
      <c r="N45" s="262">
        <v>73.0</v>
      </c>
      <c r="O45" s="263">
        <v>12.0</v>
      </c>
      <c r="P45" s="261">
        <v>0.0</v>
      </c>
      <c r="Q45" s="261">
        <v>15.0</v>
      </c>
      <c r="R45" s="261">
        <v>0.0</v>
      </c>
      <c r="S45" s="261">
        <v>0.0</v>
      </c>
      <c r="T45" s="147" t="s">
        <v>143</v>
      </c>
      <c r="U45" s="164" t="s">
        <v>1384</v>
      </c>
      <c r="V45" s="148" t="s">
        <v>1385</v>
      </c>
      <c r="W45" s="149" t="s">
        <v>551</v>
      </c>
      <c r="X45" s="149" t="s">
        <v>551</v>
      </c>
      <c r="Y45" s="147" t="s">
        <v>82</v>
      </c>
      <c r="Z45" s="147" t="s">
        <v>677</v>
      </c>
      <c r="AA45" s="147" t="s">
        <v>11</v>
      </c>
      <c r="AB45" s="147" t="s">
        <v>1386</v>
      </c>
    </row>
    <row r="46" ht="15.75" customHeight="1">
      <c r="A46" s="141">
        <v>248.0</v>
      </c>
      <c r="B46" s="142" t="s">
        <v>126</v>
      </c>
      <c r="C46" s="143" t="str">
        <f>HYPERLINK("https://azurlane.koumakan.jp/Scharnhorst","Scharnhorst")</f>
        <v>Scharnhorst</v>
      </c>
      <c r="D46" s="142" t="s">
        <v>28</v>
      </c>
      <c r="E46" s="165">
        <v>7632.0</v>
      </c>
      <c r="F46" s="145">
        <v>371.0</v>
      </c>
      <c r="G46" s="145">
        <v>156.0</v>
      </c>
      <c r="H46" s="145">
        <v>0.0</v>
      </c>
      <c r="I46" s="145">
        <v>253.0</v>
      </c>
      <c r="J46" s="145">
        <v>160.0</v>
      </c>
      <c r="K46" s="145">
        <v>40.0</v>
      </c>
      <c r="L46" s="145" t="s">
        <v>71</v>
      </c>
      <c r="M46" s="145">
        <v>31.0</v>
      </c>
      <c r="N46" s="145">
        <v>68.0</v>
      </c>
      <c r="O46" s="166">
        <v>43.0</v>
      </c>
      <c r="P46" s="145">
        <v>0.0</v>
      </c>
      <c r="Q46" s="145">
        <v>13.0</v>
      </c>
      <c r="R46" s="145">
        <v>0.0</v>
      </c>
      <c r="S46" s="145">
        <v>0.0</v>
      </c>
      <c r="T46" s="147" t="s">
        <v>193</v>
      </c>
      <c r="U46" s="164" t="s">
        <v>1387</v>
      </c>
      <c r="V46" s="164" t="s">
        <v>1388</v>
      </c>
      <c r="W46" s="149" t="s">
        <v>551</v>
      </c>
      <c r="X46" s="149" t="s">
        <v>551</v>
      </c>
      <c r="Y46" s="147" t="s">
        <v>82</v>
      </c>
      <c r="Z46" s="147" t="s">
        <v>27</v>
      </c>
      <c r="AA46" s="147" t="s">
        <v>11</v>
      </c>
      <c r="AB46" s="147" t="s">
        <v>1346</v>
      </c>
    </row>
    <row r="47" ht="15.75" customHeight="1">
      <c r="A47" s="141">
        <v>249.0</v>
      </c>
      <c r="B47" s="142" t="s">
        <v>126</v>
      </c>
      <c r="C47" s="143" t="str">
        <f>HYPERLINK("https://azurlane.koumakan.jp/Gneisenau","Gneisenau")</f>
        <v>Gneisenau</v>
      </c>
      <c r="D47" s="142" t="s">
        <v>28</v>
      </c>
      <c r="E47" s="165">
        <v>7632.0</v>
      </c>
      <c r="F47" s="145">
        <v>371.0</v>
      </c>
      <c r="G47" s="145">
        <v>156.0</v>
      </c>
      <c r="H47" s="145">
        <v>0.0</v>
      </c>
      <c r="I47" s="145">
        <v>253.0</v>
      </c>
      <c r="J47" s="145">
        <v>160.0</v>
      </c>
      <c r="K47" s="145">
        <v>40.0</v>
      </c>
      <c r="L47" s="145" t="s">
        <v>71</v>
      </c>
      <c r="M47" s="145">
        <v>31.0</v>
      </c>
      <c r="N47" s="145">
        <v>68.0</v>
      </c>
      <c r="O47" s="166">
        <v>64.0</v>
      </c>
      <c r="P47" s="145">
        <v>0.0</v>
      </c>
      <c r="Q47" s="145">
        <v>13.0</v>
      </c>
      <c r="R47" s="145">
        <v>0.0</v>
      </c>
      <c r="S47" s="145">
        <v>0.0</v>
      </c>
      <c r="T47" s="147" t="s">
        <v>193</v>
      </c>
      <c r="U47" s="164" t="s">
        <v>1389</v>
      </c>
      <c r="V47" s="164" t="s">
        <v>1388</v>
      </c>
      <c r="W47" s="149" t="s">
        <v>551</v>
      </c>
      <c r="X47" s="149" t="s">
        <v>551</v>
      </c>
      <c r="Y47" s="147" t="s">
        <v>82</v>
      </c>
      <c r="Z47" s="147" t="s">
        <v>27</v>
      </c>
      <c r="AA47" s="147" t="s">
        <v>11</v>
      </c>
      <c r="AB47" s="147" t="s">
        <v>1346</v>
      </c>
    </row>
    <row r="48" ht="15.75" customHeight="1">
      <c r="A48" s="141">
        <v>250.0</v>
      </c>
      <c r="B48" s="142" t="s">
        <v>82</v>
      </c>
      <c r="C48" s="143" t="str">
        <f>HYPERLINK("https://azurlane.koumakan.jp/Bismarck","Bismarck")</f>
        <v>Bismarck</v>
      </c>
      <c r="D48" s="142" t="s">
        <v>32</v>
      </c>
      <c r="E48" s="144">
        <v>8970.0</v>
      </c>
      <c r="F48" s="158">
        <v>428.0</v>
      </c>
      <c r="G48" s="158">
        <v>0.0</v>
      </c>
      <c r="H48" s="158">
        <v>0.0</v>
      </c>
      <c r="I48" s="158">
        <v>212.0</v>
      </c>
      <c r="J48" s="158">
        <v>155.0</v>
      </c>
      <c r="K48" s="158">
        <v>34.0</v>
      </c>
      <c r="L48" s="158" t="s">
        <v>83</v>
      </c>
      <c r="M48" s="158">
        <v>30.0</v>
      </c>
      <c r="N48" s="145">
        <v>75.0</v>
      </c>
      <c r="O48" s="166">
        <v>32.0</v>
      </c>
      <c r="P48" s="158">
        <v>0.0</v>
      </c>
      <c r="Q48" s="158">
        <v>15.0</v>
      </c>
      <c r="R48" s="158">
        <v>0.0</v>
      </c>
      <c r="S48" s="158">
        <v>0.0</v>
      </c>
      <c r="T48" s="147" t="s">
        <v>193</v>
      </c>
      <c r="U48" s="164" t="s">
        <v>1390</v>
      </c>
      <c r="V48" s="164" t="s">
        <v>1391</v>
      </c>
      <c r="W48" s="148" t="s">
        <v>1392</v>
      </c>
      <c r="X48" s="149" t="s">
        <v>551</v>
      </c>
      <c r="Y48" s="147" t="s">
        <v>82</v>
      </c>
      <c r="Z48" s="147" t="s">
        <v>677</v>
      </c>
      <c r="AA48" s="147" t="s">
        <v>11</v>
      </c>
      <c r="AB48" s="147" t="s">
        <v>1393</v>
      </c>
    </row>
    <row r="49" ht="15.75" customHeight="1">
      <c r="A49" s="141">
        <v>251.0</v>
      </c>
      <c r="B49" s="142" t="s">
        <v>82</v>
      </c>
      <c r="C49" s="143" t="str">
        <f>HYPERLINK("https://azurlane.koumakan.jp/Tirpitz","Tirpitz")</f>
        <v>Tirpitz</v>
      </c>
      <c r="D49" s="142" t="s">
        <v>32</v>
      </c>
      <c r="E49" s="165">
        <v>8592.0</v>
      </c>
      <c r="F49" s="145">
        <v>428.0</v>
      </c>
      <c r="G49" s="145">
        <v>220.0</v>
      </c>
      <c r="H49" s="145">
        <v>0.0</v>
      </c>
      <c r="I49" s="145">
        <v>212.0</v>
      </c>
      <c r="J49" s="145">
        <v>152.0</v>
      </c>
      <c r="K49" s="145">
        <v>34.0</v>
      </c>
      <c r="L49" s="145" t="s">
        <v>83</v>
      </c>
      <c r="M49" s="145">
        <v>30.0</v>
      </c>
      <c r="N49" s="145">
        <v>69.0</v>
      </c>
      <c r="O49" s="166">
        <v>45.0</v>
      </c>
      <c r="P49" s="145">
        <v>0.0</v>
      </c>
      <c r="Q49" s="145">
        <v>15.0</v>
      </c>
      <c r="R49" s="145">
        <v>0.0</v>
      </c>
      <c r="S49" s="145">
        <v>0.0</v>
      </c>
      <c r="T49" s="147" t="s">
        <v>193</v>
      </c>
      <c r="U49" s="164" t="s">
        <v>1394</v>
      </c>
      <c r="V49" s="164" t="s">
        <v>1395</v>
      </c>
      <c r="W49" s="149" t="s">
        <v>551</v>
      </c>
      <c r="X49" s="149" t="s">
        <v>551</v>
      </c>
      <c r="Y49" s="147" t="s">
        <v>82</v>
      </c>
      <c r="Z49" s="147" t="s">
        <v>677</v>
      </c>
      <c r="AA49" s="147" t="s">
        <v>11</v>
      </c>
      <c r="AB49" s="147" t="s">
        <v>1396</v>
      </c>
    </row>
    <row r="50" ht="15.75" customHeight="1">
      <c r="A50" s="141">
        <v>320.0</v>
      </c>
      <c r="B50" s="142" t="s">
        <v>82</v>
      </c>
      <c r="C50" s="143" t="str">
        <f>HYPERLINK("https://azurlane.koumakan.jp/Mikasa","Mikasa")</f>
        <v>Mikasa</v>
      </c>
      <c r="D50" s="142" t="s">
        <v>32</v>
      </c>
      <c r="E50" s="165">
        <v>5501.0</v>
      </c>
      <c r="F50" s="145">
        <v>339.0</v>
      </c>
      <c r="G50" s="145">
        <v>0.0</v>
      </c>
      <c r="H50" s="145">
        <v>0.0</v>
      </c>
      <c r="I50" s="145">
        <v>176.0</v>
      </c>
      <c r="J50" s="145">
        <v>166.0</v>
      </c>
      <c r="K50" s="145">
        <v>26.0</v>
      </c>
      <c r="L50" s="145" t="s">
        <v>83</v>
      </c>
      <c r="M50" s="145">
        <v>18.0</v>
      </c>
      <c r="N50" s="145">
        <v>74.0</v>
      </c>
      <c r="O50" s="231">
        <v>95.0</v>
      </c>
      <c r="P50" s="145">
        <v>0.0</v>
      </c>
      <c r="Q50" s="145">
        <v>14.0</v>
      </c>
      <c r="R50" s="145">
        <v>0.0</v>
      </c>
      <c r="S50" s="145">
        <v>0.0</v>
      </c>
      <c r="T50" s="147" t="s">
        <v>143</v>
      </c>
      <c r="U50" s="148" t="s">
        <v>1397</v>
      </c>
      <c r="V50" s="148" t="s">
        <v>1398</v>
      </c>
      <c r="W50" s="149" t="s">
        <v>551</v>
      </c>
      <c r="X50" s="149" t="s">
        <v>551</v>
      </c>
      <c r="Y50" s="147" t="s">
        <v>82</v>
      </c>
      <c r="Z50" s="147" t="s">
        <v>677</v>
      </c>
      <c r="AA50" s="147" t="s">
        <v>27</v>
      </c>
      <c r="AB50" s="147" t="s">
        <v>1399</v>
      </c>
    </row>
    <row r="51" ht="15.75" customHeight="1">
      <c r="A51" s="141">
        <v>336.0</v>
      </c>
      <c r="B51" s="142" t="s">
        <v>141</v>
      </c>
      <c r="C51" s="143" t="str">
        <f>HYPERLINK("https://azurlane.koumakan.jp/Abercrombie","Abercrombie")</f>
        <v>Abercrombie</v>
      </c>
      <c r="D51" s="142" t="s">
        <v>28</v>
      </c>
      <c r="E51" s="165">
        <v>3869.0</v>
      </c>
      <c r="F51" s="145">
        <v>290.0</v>
      </c>
      <c r="G51" s="145">
        <v>0.0</v>
      </c>
      <c r="H51" s="145">
        <v>0.0</v>
      </c>
      <c r="I51" s="145">
        <v>186.0</v>
      </c>
      <c r="J51" s="145">
        <v>150.0</v>
      </c>
      <c r="K51" s="168">
        <v>63.0</v>
      </c>
      <c r="L51" s="145" t="s">
        <v>29</v>
      </c>
      <c r="M51" s="145">
        <v>12.0</v>
      </c>
      <c r="N51" s="145">
        <v>83.0</v>
      </c>
      <c r="O51" s="166">
        <v>38.0</v>
      </c>
      <c r="P51" s="145">
        <v>0.0</v>
      </c>
      <c r="Q51" s="145">
        <v>10.0</v>
      </c>
      <c r="R51" s="145">
        <v>0.0</v>
      </c>
      <c r="S51" s="145">
        <v>0.0</v>
      </c>
      <c r="T51" s="147" t="s">
        <v>104</v>
      </c>
      <c r="U51" s="164" t="s">
        <v>1400</v>
      </c>
      <c r="V51" s="149" t="s">
        <v>551</v>
      </c>
      <c r="W51" s="149" t="s">
        <v>551</v>
      </c>
      <c r="X51" s="149" t="s">
        <v>551</v>
      </c>
      <c r="Y51" s="147" t="s">
        <v>82</v>
      </c>
      <c r="Z51" s="147" t="s">
        <v>27</v>
      </c>
      <c r="AA51" s="147" t="s">
        <v>11</v>
      </c>
      <c r="AB51" s="147" t="s">
        <v>1401</v>
      </c>
    </row>
    <row r="52" ht="15.75" customHeight="1">
      <c r="A52" s="141">
        <v>352.0</v>
      </c>
      <c r="B52" s="142" t="s">
        <v>126</v>
      </c>
      <c r="C52" s="143" t="str">
        <f>HYPERLINK("https://azurlane.koumakan.jp/Dunkerque","Dunkerque")</f>
        <v>Dunkerque</v>
      </c>
      <c r="D52" s="142" t="s">
        <v>28</v>
      </c>
      <c r="E52" s="165">
        <v>6950.0</v>
      </c>
      <c r="F52" s="145">
        <v>362.0</v>
      </c>
      <c r="G52" s="145">
        <v>0.0</v>
      </c>
      <c r="H52" s="145">
        <v>0.0</v>
      </c>
      <c r="I52" s="145">
        <v>232.0</v>
      </c>
      <c r="J52" s="145">
        <v>166.0</v>
      </c>
      <c r="K52" s="145">
        <v>43.0</v>
      </c>
      <c r="L52" s="145" t="s">
        <v>71</v>
      </c>
      <c r="M52" s="145">
        <v>31.0</v>
      </c>
      <c r="N52" s="145">
        <v>73.0</v>
      </c>
      <c r="O52" s="166">
        <v>35.0</v>
      </c>
      <c r="P52" s="145">
        <v>0.0</v>
      </c>
      <c r="Q52" s="145">
        <v>13.0</v>
      </c>
      <c r="R52" s="145">
        <v>0.0</v>
      </c>
      <c r="S52" s="145">
        <v>0.0</v>
      </c>
      <c r="T52" s="147" t="s">
        <v>247</v>
      </c>
      <c r="U52" s="164" t="s">
        <v>1402</v>
      </c>
      <c r="V52" s="149" t="s">
        <v>551</v>
      </c>
      <c r="W52" s="149" t="s">
        <v>551</v>
      </c>
      <c r="X52" s="149" t="s">
        <v>551</v>
      </c>
      <c r="Y52" s="147" t="s">
        <v>82</v>
      </c>
      <c r="Z52" s="147" t="s">
        <v>27</v>
      </c>
      <c r="AA52" s="147" t="s">
        <v>11</v>
      </c>
      <c r="AB52" s="147" t="s">
        <v>1403</v>
      </c>
    </row>
    <row r="53" ht="15.75" customHeight="1">
      <c r="A53" s="141">
        <v>353.0</v>
      </c>
      <c r="B53" s="142" t="s">
        <v>82</v>
      </c>
      <c r="C53" s="143" t="str">
        <f>HYPERLINK("https://azurlane.koumakan.jp/Jean_Bart","Jean Bart")</f>
        <v>Jean Bart</v>
      </c>
      <c r="D53" s="142" t="s">
        <v>32</v>
      </c>
      <c r="E53" s="165">
        <v>8227.0</v>
      </c>
      <c r="F53" s="145">
        <v>425.0</v>
      </c>
      <c r="G53" s="145">
        <v>0.0</v>
      </c>
      <c r="H53" s="145">
        <v>0.0</v>
      </c>
      <c r="I53" s="145">
        <v>247.0</v>
      </c>
      <c r="J53" s="145">
        <v>182.0</v>
      </c>
      <c r="K53" s="145">
        <v>44.0</v>
      </c>
      <c r="L53" s="145" t="s">
        <v>83</v>
      </c>
      <c r="M53" s="145">
        <v>32.0</v>
      </c>
      <c r="N53" s="145">
        <v>69.0</v>
      </c>
      <c r="O53" s="166">
        <v>17.0</v>
      </c>
      <c r="P53" s="145">
        <v>0.0</v>
      </c>
      <c r="Q53" s="145">
        <v>15.0</v>
      </c>
      <c r="R53" s="145">
        <v>0.0</v>
      </c>
      <c r="S53" s="145">
        <v>0.0</v>
      </c>
      <c r="T53" s="170" t="s">
        <v>247</v>
      </c>
      <c r="U53" s="164" t="s">
        <v>1404</v>
      </c>
      <c r="V53" s="164" t="s">
        <v>1405</v>
      </c>
      <c r="W53" s="149" t="s">
        <v>551</v>
      </c>
      <c r="X53" s="149" t="s">
        <v>551</v>
      </c>
      <c r="Y53" s="147" t="s">
        <v>82</v>
      </c>
      <c r="Z53" s="147" t="s">
        <v>677</v>
      </c>
      <c r="AA53" s="147" t="s">
        <v>11</v>
      </c>
      <c r="AB53" s="147" t="s">
        <v>1406</v>
      </c>
    </row>
    <row r="54">
      <c r="A54" s="141">
        <v>354.0</v>
      </c>
      <c r="B54" s="142" t="s">
        <v>82</v>
      </c>
      <c r="C54" s="143" t="str">
        <f>HYPERLINK("https://azurlane.koumakan.jp/Massachusetts","Massachusetts")</f>
        <v>Massachusetts</v>
      </c>
      <c r="D54" s="142" t="s">
        <v>32</v>
      </c>
      <c r="E54" s="165">
        <v>7967.0</v>
      </c>
      <c r="F54" s="145">
        <v>419.0</v>
      </c>
      <c r="G54" s="145">
        <v>0.0</v>
      </c>
      <c r="H54" s="145">
        <v>0.0</v>
      </c>
      <c r="I54" s="145">
        <v>409.0</v>
      </c>
      <c r="J54" s="145">
        <v>158.0</v>
      </c>
      <c r="K54" s="145">
        <v>34.0</v>
      </c>
      <c r="L54" s="145" t="s">
        <v>83</v>
      </c>
      <c r="M54" s="145">
        <v>27.0</v>
      </c>
      <c r="N54" s="145">
        <v>76.0</v>
      </c>
      <c r="O54" s="166">
        <v>82.0</v>
      </c>
      <c r="P54" s="145">
        <v>0.0</v>
      </c>
      <c r="Q54" s="145">
        <v>15.0</v>
      </c>
      <c r="R54" s="145">
        <v>0.0</v>
      </c>
      <c r="S54" s="145">
        <v>0.0</v>
      </c>
      <c r="T54" s="147" t="s">
        <v>37</v>
      </c>
      <c r="U54" s="164" t="s">
        <v>1407</v>
      </c>
      <c r="V54" s="164" t="s">
        <v>1408</v>
      </c>
      <c r="W54" s="230" t="s">
        <v>551</v>
      </c>
      <c r="X54" s="149" t="s">
        <v>551</v>
      </c>
      <c r="Y54" s="147" t="s">
        <v>82</v>
      </c>
      <c r="Z54" s="147" t="s">
        <v>27</v>
      </c>
      <c r="AA54" s="147" t="s">
        <v>11</v>
      </c>
      <c r="AB54" s="147" t="s">
        <v>1329</v>
      </c>
    </row>
    <row r="55">
      <c r="A55" s="141">
        <v>367.0</v>
      </c>
      <c r="B55" s="142" t="s">
        <v>126</v>
      </c>
      <c r="C55" s="143" t="str">
        <f>HYPERLINK("https://azurlane.koumakan.jp/Amagi","Amagi")</f>
        <v>Amagi</v>
      </c>
      <c r="D55" s="142" t="s">
        <v>32</v>
      </c>
      <c r="E55" s="165">
        <v>7837.0</v>
      </c>
      <c r="F55" s="145">
        <v>425.0</v>
      </c>
      <c r="G55" s="145">
        <v>216.0</v>
      </c>
      <c r="H55" s="145">
        <v>0.0</v>
      </c>
      <c r="I55" s="145">
        <v>191.0</v>
      </c>
      <c r="J55" s="145">
        <v>150.0</v>
      </c>
      <c r="K55" s="145">
        <v>42.0</v>
      </c>
      <c r="L55" s="145" t="s">
        <v>71</v>
      </c>
      <c r="M55" s="145">
        <v>30.0</v>
      </c>
      <c r="N55" s="145">
        <v>70.0</v>
      </c>
      <c r="O55" s="166">
        <v>23.0</v>
      </c>
      <c r="P55" s="145">
        <v>0.0</v>
      </c>
      <c r="Q55" s="145">
        <v>15.0</v>
      </c>
      <c r="R55" s="145">
        <v>0.0</v>
      </c>
      <c r="S55" s="145">
        <v>0.0</v>
      </c>
      <c r="T55" s="147" t="s">
        <v>143</v>
      </c>
      <c r="U55" s="148" t="s">
        <v>1409</v>
      </c>
      <c r="V55" s="161" t="s">
        <v>1410</v>
      </c>
      <c r="W55" s="164" t="s">
        <v>1411</v>
      </c>
      <c r="X55" s="149" t="s">
        <v>551</v>
      </c>
      <c r="Y55" s="147" t="s">
        <v>82</v>
      </c>
      <c r="Z55" s="147" t="s">
        <v>677</v>
      </c>
      <c r="AA55" s="147" t="s">
        <v>11</v>
      </c>
      <c r="AB55" s="147" t="s">
        <v>1412</v>
      </c>
    </row>
    <row r="56">
      <c r="A56" s="141">
        <v>368.0</v>
      </c>
      <c r="B56" s="142" t="s">
        <v>82</v>
      </c>
      <c r="C56" s="143" t="str">
        <f>HYPERLINK("https://azurlane.koumakan.jp/Kaga_(Battleship)","Kaga (BB)")</f>
        <v>Kaga (BB)</v>
      </c>
      <c r="D56" s="142" t="s">
        <v>32</v>
      </c>
      <c r="E56" s="165">
        <v>8501.0</v>
      </c>
      <c r="F56" s="145">
        <v>429.0</v>
      </c>
      <c r="G56" s="145">
        <v>220.0</v>
      </c>
      <c r="H56" s="145">
        <v>0.0</v>
      </c>
      <c r="I56" s="145">
        <v>191.0</v>
      </c>
      <c r="J56" s="145">
        <v>151.0</v>
      </c>
      <c r="K56" s="145">
        <v>40.0</v>
      </c>
      <c r="L56" s="145" t="s">
        <v>83</v>
      </c>
      <c r="M56" s="145">
        <v>26.0</v>
      </c>
      <c r="N56" s="145">
        <v>73.0</v>
      </c>
      <c r="O56" s="166">
        <v>42.0</v>
      </c>
      <c r="P56" s="145">
        <v>0.0</v>
      </c>
      <c r="Q56" s="145">
        <v>15.0</v>
      </c>
      <c r="R56" s="145">
        <v>0.0</v>
      </c>
      <c r="S56" s="145">
        <v>0.0</v>
      </c>
      <c r="T56" s="147" t="s">
        <v>143</v>
      </c>
      <c r="U56" s="164" t="s">
        <v>1413</v>
      </c>
      <c r="V56" s="164" t="s">
        <v>1414</v>
      </c>
      <c r="W56" s="159" t="s">
        <v>551</v>
      </c>
      <c r="X56" s="149" t="s">
        <v>551</v>
      </c>
      <c r="Y56" s="147" t="s">
        <v>82</v>
      </c>
      <c r="Z56" s="147" t="s">
        <v>677</v>
      </c>
      <c r="AA56" s="147" t="s">
        <v>11</v>
      </c>
      <c r="AB56" s="147" t="s">
        <v>1386</v>
      </c>
    </row>
    <row r="57">
      <c r="A57" s="156">
        <v>383.0</v>
      </c>
      <c r="B57" s="149" t="s">
        <v>126</v>
      </c>
      <c r="C57" s="157" t="str">
        <f>HYPERLINK("https://azurlane.koumakan.jp/Hiei-chan","Hiei-chan")</f>
        <v>Hiei-chan</v>
      </c>
      <c r="D57" s="142" t="s">
        <v>28</v>
      </c>
      <c r="E57" s="144">
        <v>6609.0</v>
      </c>
      <c r="F57" s="158">
        <v>368.0</v>
      </c>
      <c r="G57" s="158">
        <v>170.0</v>
      </c>
      <c r="H57" s="158">
        <v>0.0</v>
      </c>
      <c r="I57" s="158">
        <v>253.0</v>
      </c>
      <c r="J57" s="158">
        <v>162.0</v>
      </c>
      <c r="K57" s="158">
        <v>41.0</v>
      </c>
      <c r="L57" s="158" t="s">
        <v>71</v>
      </c>
      <c r="M57" s="158">
        <v>30.0</v>
      </c>
      <c r="N57" s="158">
        <v>70.0</v>
      </c>
      <c r="O57" s="227">
        <v>37.0</v>
      </c>
      <c r="P57" s="158">
        <v>0.0</v>
      </c>
      <c r="Q57" s="158">
        <v>14.0</v>
      </c>
      <c r="R57" s="158">
        <v>0.0</v>
      </c>
      <c r="S57" s="158">
        <v>0.0</v>
      </c>
      <c r="T57" s="147" t="s">
        <v>143</v>
      </c>
      <c r="U57" s="164" t="s">
        <v>1415</v>
      </c>
      <c r="V57" s="148" t="s">
        <v>1416</v>
      </c>
      <c r="W57" s="159" t="s">
        <v>551</v>
      </c>
      <c r="X57" s="149" t="s">
        <v>551</v>
      </c>
      <c r="Y57" s="147" t="s">
        <v>82</v>
      </c>
      <c r="Z57" s="147" t="s">
        <v>677</v>
      </c>
      <c r="AA57" s="147" t="s">
        <v>11</v>
      </c>
      <c r="AB57" s="147" t="s">
        <v>1417</v>
      </c>
    </row>
    <row r="58">
      <c r="A58" s="182">
        <v>401.0</v>
      </c>
      <c r="B58" s="183" t="s">
        <v>82</v>
      </c>
      <c r="C58" s="152" t="str">
        <f>HYPERLINK("https://azurlane.koumakan.jp/Alabama","Alabama")</f>
        <v>Alabama</v>
      </c>
      <c r="D58" s="170" t="s">
        <v>32</v>
      </c>
      <c r="E58" s="191">
        <v>7967.0</v>
      </c>
      <c r="F58" s="170">
        <v>424.0</v>
      </c>
      <c r="G58" s="170">
        <v>0.0</v>
      </c>
      <c r="H58" s="170">
        <v>0.0</v>
      </c>
      <c r="I58" s="170">
        <v>417.0</v>
      </c>
      <c r="J58" s="170">
        <v>156.0</v>
      </c>
      <c r="K58" s="170">
        <v>34.0</v>
      </c>
      <c r="L58" s="170" t="s">
        <v>83</v>
      </c>
      <c r="M58" s="170">
        <v>27.0</v>
      </c>
      <c r="N58" s="170">
        <v>66.0</v>
      </c>
      <c r="O58" s="192">
        <v>86.0</v>
      </c>
      <c r="P58" s="170">
        <v>0.0</v>
      </c>
      <c r="Q58" s="170">
        <v>15.0</v>
      </c>
      <c r="R58" s="170">
        <v>0.0</v>
      </c>
      <c r="S58" s="170">
        <v>0.0</v>
      </c>
      <c r="T58" s="147" t="s">
        <v>37</v>
      </c>
      <c r="U58" s="164" t="s">
        <v>1418</v>
      </c>
      <c r="V58" s="164" t="s">
        <v>1419</v>
      </c>
      <c r="W58" s="159" t="s">
        <v>551</v>
      </c>
      <c r="X58" s="149" t="s">
        <v>551</v>
      </c>
      <c r="Y58" s="147" t="s">
        <v>82</v>
      </c>
      <c r="Z58" s="147" t="s">
        <v>27</v>
      </c>
      <c r="AA58" s="147" t="s">
        <v>11</v>
      </c>
      <c r="AB58" s="147" t="s">
        <v>1329</v>
      </c>
    </row>
    <row r="59">
      <c r="A59" s="182">
        <v>410.0</v>
      </c>
      <c r="B59" s="183" t="s">
        <v>82</v>
      </c>
      <c r="C59" s="152" t="str">
        <f>HYPERLINK("https://azurlane.koumakan.jp/Littorio","Littorio")</f>
        <v>Littorio</v>
      </c>
      <c r="D59" s="170" t="s">
        <v>32</v>
      </c>
      <c r="E59" s="170">
        <v>8567.0</v>
      </c>
      <c r="F59" s="170">
        <v>426.0</v>
      </c>
      <c r="G59" s="170">
        <v>0.0</v>
      </c>
      <c r="H59" s="170">
        <v>0.0</v>
      </c>
      <c r="I59" s="170">
        <v>248.0</v>
      </c>
      <c r="J59" s="170">
        <v>156.0</v>
      </c>
      <c r="K59" s="170">
        <v>37.0</v>
      </c>
      <c r="L59" s="170" t="s">
        <v>83</v>
      </c>
      <c r="M59" s="170">
        <v>30.0</v>
      </c>
      <c r="N59" s="170">
        <v>60.0</v>
      </c>
      <c r="O59" s="170">
        <v>79.0</v>
      </c>
      <c r="P59" s="170">
        <v>0.0</v>
      </c>
      <c r="Q59" s="170">
        <v>15.0</v>
      </c>
      <c r="R59" s="170">
        <v>0.0</v>
      </c>
      <c r="S59" s="170">
        <v>0.0</v>
      </c>
      <c r="T59" s="170" t="s">
        <v>269</v>
      </c>
      <c r="U59" s="164" t="s">
        <v>1420</v>
      </c>
      <c r="V59" s="148" t="s">
        <v>1421</v>
      </c>
      <c r="W59" s="149" t="s">
        <v>551</v>
      </c>
      <c r="X59" s="159" t="s">
        <v>551</v>
      </c>
      <c r="Y59" s="147" t="s">
        <v>82</v>
      </c>
      <c r="Z59" s="147" t="s">
        <v>677</v>
      </c>
      <c r="AA59" s="147" t="s">
        <v>11</v>
      </c>
      <c r="AB59" s="147" t="s">
        <v>1329</v>
      </c>
    </row>
    <row r="60">
      <c r="A60" s="182">
        <v>411.0</v>
      </c>
      <c r="B60" s="183" t="s">
        <v>82</v>
      </c>
      <c r="C60" s="152" t="str">
        <f>HYPERLINK("https://azurlane.koumakan.jp/Conte_di_Cavour","Conti di Cavour")</f>
        <v>Conti di Cavour</v>
      </c>
      <c r="D60" s="170" t="s">
        <v>36</v>
      </c>
      <c r="E60" s="170">
        <v>6994.0</v>
      </c>
      <c r="F60" s="170">
        <v>341.0</v>
      </c>
      <c r="G60" s="170">
        <v>148.0</v>
      </c>
      <c r="H60" s="170">
        <v>0.0</v>
      </c>
      <c r="I60" s="170">
        <v>179.0</v>
      </c>
      <c r="J60" s="170">
        <v>140.0</v>
      </c>
      <c r="K60" s="170">
        <v>38.0</v>
      </c>
      <c r="L60" s="170" t="s">
        <v>83</v>
      </c>
      <c r="M60" s="170">
        <v>27.0</v>
      </c>
      <c r="N60" s="170">
        <v>63.0</v>
      </c>
      <c r="O60" s="170">
        <v>45.0</v>
      </c>
      <c r="P60" s="170">
        <v>0.0</v>
      </c>
      <c r="Q60" s="170">
        <v>13.0</v>
      </c>
      <c r="R60" s="170">
        <v>0.0</v>
      </c>
      <c r="S60" s="170">
        <v>0.0</v>
      </c>
      <c r="T60" s="170" t="s">
        <v>269</v>
      </c>
      <c r="U60" s="164" t="s">
        <v>1422</v>
      </c>
      <c r="V60" s="149" t="s">
        <v>551</v>
      </c>
      <c r="W60" s="159" t="s">
        <v>551</v>
      </c>
      <c r="X60" s="149" t="s">
        <v>551</v>
      </c>
      <c r="Y60" s="147" t="s">
        <v>82</v>
      </c>
      <c r="Z60" s="147" t="s">
        <v>27</v>
      </c>
      <c r="AA60" s="147" t="s">
        <v>11</v>
      </c>
      <c r="AB60" s="147" t="s">
        <v>1423</v>
      </c>
    </row>
    <row r="61">
      <c r="A61" s="182">
        <v>412.0</v>
      </c>
      <c r="B61" s="196" t="s">
        <v>82</v>
      </c>
      <c r="C61" s="197" t="str">
        <f>HYPERLINK("https://azurlane.koumakan.jp/Giulio_Cesare","Giulio Cesare")</f>
        <v>Giulio Cesare</v>
      </c>
      <c r="D61" s="191" t="s">
        <v>28</v>
      </c>
      <c r="E61" s="191">
        <v>7197.0</v>
      </c>
      <c r="F61" s="191">
        <v>351.0</v>
      </c>
      <c r="G61" s="191">
        <v>153.0</v>
      </c>
      <c r="H61" s="191">
        <v>0.0</v>
      </c>
      <c r="I61" s="191">
        <v>190.0</v>
      </c>
      <c r="J61" s="191">
        <v>151.0</v>
      </c>
      <c r="K61" s="191">
        <v>38.0</v>
      </c>
      <c r="L61" s="191" t="s">
        <v>83</v>
      </c>
      <c r="M61" s="191">
        <v>27.0</v>
      </c>
      <c r="N61" s="191">
        <v>65.0</v>
      </c>
      <c r="O61" s="191">
        <v>65.0</v>
      </c>
      <c r="P61" s="191">
        <v>0.0</v>
      </c>
      <c r="Q61" s="191">
        <v>14.0</v>
      </c>
      <c r="R61" s="191">
        <v>0.0</v>
      </c>
      <c r="S61" s="191">
        <v>0.0</v>
      </c>
      <c r="T61" s="191" t="s">
        <v>269</v>
      </c>
      <c r="U61" s="164" t="s">
        <v>1424</v>
      </c>
      <c r="V61" s="164" t="s">
        <v>1422</v>
      </c>
      <c r="W61" s="149" t="s">
        <v>551</v>
      </c>
      <c r="X61" s="149" t="s">
        <v>551</v>
      </c>
      <c r="Y61" s="147" t="s">
        <v>82</v>
      </c>
      <c r="Z61" s="147" t="s">
        <v>27</v>
      </c>
      <c r="AA61" s="147" t="s">
        <v>11</v>
      </c>
      <c r="AB61" s="147" t="s">
        <v>1423</v>
      </c>
    </row>
    <row r="62">
      <c r="A62" s="182">
        <v>418.0</v>
      </c>
      <c r="B62" s="196" t="s">
        <v>82</v>
      </c>
      <c r="C62" s="197" t="s">
        <v>274</v>
      </c>
      <c r="D62" s="191" t="s">
        <v>32</v>
      </c>
      <c r="E62" s="191">
        <v>8035.0</v>
      </c>
      <c r="F62" s="191">
        <v>434.0</v>
      </c>
      <c r="G62" s="191">
        <v>0.0</v>
      </c>
      <c r="H62" s="191">
        <v>0.0</v>
      </c>
      <c r="I62" s="191">
        <v>242.0</v>
      </c>
      <c r="J62" s="191">
        <v>170.0</v>
      </c>
      <c r="K62" s="191">
        <v>38.0</v>
      </c>
      <c r="L62" s="191" t="s">
        <v>83</v>
      </c>
      <c r="M62" s="191">
        <v>32.0</v>
      </c>
      <c r="N62" s="191">
        <v>73.0</v>
      </c>
      <c r="O62" s="191">
        <v>0.0</v>
      </c>
      <c r="P62" s="191">
        <v>0.0</v>
      </c>
      <c r="Q62" s="191">
        <v>15.0</v>
      </c>
      <c r="R62" s="191">
        <v>0.0</v>
      </c>
      <c r="S62" s="191">
        <v>0.0</v>
      </c>
      <c r="T62" s="191" t="s">
        <v>247</v>
      </c>
      <c r="U62" s="298" t="s">
        <v>1425</v>
      </c>
      <c r="V62" s="148" t="s">
        <v>1426</v>
      </c>
      <c r="W62" s="149" t="s">
        <v>551</v>
      </c>
      <c r="X62" s="149" t="s">
        <v>551</v>
      </c>
      <c r="Y62" s="147" t="s">
        <v>82</v>
      </c>
      <c r="Z62" s="147" t="s">
        <v>677</v>
      </c>
      <c r="AA62" s="147" t="s">
        <v>11</v>
      </c>
      <c r="AB62" s="147" t="s">
        <v>1427</v>
      </c>
    </row>
    <row r="63">
      <c r="A63" s="182">
        <v>425.0</v>
      </c>
      <c r="B63" s="196" t="s">
        <v>82</v>
      </c>
      <c r="C63" s="197" t="str">
        <f>HYPERLINK("https://azurlane.koumakan.jp/Suruga","Suruga")</f>
        <v>Suruga</v>
      </c>
      <c r="D63" s="191" t="s">
        <v>32</v>
      </c>
      <c r="E63" s="191">
        <v>8425.0</v>
      </c>
      <c r="F63" s="191">
        <v>426.0</v>
      </c>
      <c r="G63" s="191">
        <v>216.0</v>
      </c>
      <c r="H63" s="191">
        <v>0.0</v>
      </c>
      <c r="I63" s="191">
        <v>220.0</v>
      </c>
      <c r="J63" s="191">
        <v>141.0</v>
      </c>
      <c r="K63" s="191">
        <v>38.0</v>
      </c>
      <c r="L63" s="191" t="s">
        <v>83</v>
      </c>
      <c r="M63" s="191">
        <v>28.0</v>
      </c>
      <c r="N63" s="191">
        <v>70.0</v>
      </c>
      <c r="O63" s="191">
        <v>37.0</v>
      </c>
      <c r="P63" s="191">
        <v>0.0</v>
      </c>
      <c r="Q63" s="191">
        <v>15.0</v>
      </c>
      <c r="R63" s="191">
        <v>0.0</v>
      </c>
      <c r="S63" s="191">
        <v>0.0</v>
      </c>
      <c r="T63" s="191" t="s">
        <v>143</v>
      </c>
      <c r="U63" s="219" t="s">
        <v>1428</v>
      </c>
      <c r="V63" s="161" t="s">
        <v>1429</v>
      </c>
      <c r="W63" s="149" t="s">
        <v>551</v>
      </c>
      <c r="X63" s="149" t="s">
        <v>551</v>
      </c>
      <c r="Y63" s="147" t="s">
        <v>82</v>
      </c>
      <c r="Z63" s="147" t="s">
        <v>677</v>
      </c>
      <c r="AA63" s="147" t="s">
        <v>11</v>
      </c>
      <c r="AB63" s="147" t="s">
        <v>1356</v>
      </c>
    </row>
    <row r="64">
      <c r="A64" s="156">
        <v>437.0</v>
      </c>
      <c r="B64" s="259" t="s">
        <v>82</v>
      </c>
      <c r="C64" s="152" t="str">
        <f>HYPERLINK("https://azurlane.koumakan.jp/Gangut","Gangut")</f>
        <v>Gangut</v>
      </c>
      <c r="D64" s="142" t="s">
        <v>28</v>
      </c>
      <c r="E64" s="261">
        <v>6645.0</v>
      </c>
      <c r="F64" s="261">
        <v>328.0</v>
      </c>
      <c r="G64" s="261">
        <v>0.0</v>
      </c>
      <c r="H64" s="261">
        <v>0.0</v>
      </c>
      <c r="I64" s="261">
        <v>177.0</v>
      </c>
      <c r="J64" s="261">
        <v>151.0</v>
      </c>
      <c r="K64" s="261">
        <v>34.0</v>
      </c>
      <c r="L64" s="261" t="s">
        <v>83</v>
      </c>
      <c r="M64" s="261">
        <v>24.0</v>
      </c>
      <c r="N64" s="262">
        <v>63.0</v>
      </c>
      <c r="O64" s="248">
        <v>85.0</v>
      </c>
      <c r="P64" s="261">
        <v>0.0</v>
      </c>
      <c r="Q64" s="147">
        <v>14.0</v>
      </c>
      <c r="R64" s="261">
        <v>0.0</v>
      </c>
      <c r="S64" s="261">
        <v>0.0</v>
      </c>
      <c r="T64" s="147" t="s">
        <v>212</v>
      </c>
      <c r="U64" s="164" t="s">
        <v>1430</v>
      </c>
      <c r="V64" s="161" t="s">
        <v>1431</v>
      </c>
      <c r="W64" s="149" t="s">
        <v>551</v>
      </c>
      <c r="X64" s="149" t="s">
        <v>551</v>
      </c>
      <c r="Y64" s="147" t="s">
        <v>82</v>
      </c>
      <c r="Z64" s="147" t="s">
        <v>677</v>
      </c>
      <c r="AA64" s="147" t="s">
        <v>11</v>
      </c>
      <c r="AB64" s="147" t="s">
        <v>1432</v>
      </c>
    </row>
    <row r="65">
      <c r="A65" s="156">
        <v>440.0</v>
      </c>
      <c r="B65" s="265" t="s">
        <v>82</v>
      </c>
      <c r="C65" s="207" t="s">
        <v>293</v>
      </c>
      <c r="D65" s="185" t="s">
        <v>32</v>
      </c>
      <c r="E65" s="265">
        <v>8459.0</v>
      </c>
      <c r="F65" s="265">
        <v>434.0</v>
      </c>
      <c r="G65" s="265">
        <v>0.0</v>
      </c>
      <c r="H65" s="265">
        <v>0.0</v>
      </c>
      <c r="I65" s="265">
        <v>220.0</v>
      </c>
      <c r="J65" s="265">
        <v>158.0</v>
      </c>
      <c r="K65" s="265">
        <v>36.0</v>
      </c>
      <c r="L65" s="265" t="s">
        <v>83</v>
      </c>
      <c r="M65" s="265">
        <v>28.0</v>
      </c>
      <c r="N65" s="248">
        <v>78.0</v>
      </c>
      <c r="O65" s="248">
        <v>46.0</v>
      </c>
      <c r="P65" s="265">
        <v>0.0</v>
      </c>
      <c r="Q65" s="265">
        <v>15.0</v>
      </c>
      <c r="R65" s="265">
        <v>0.0</v>
      </c>
      <c r="S65" s="265">
        <v>0.0</v>
      </c>
      <c r="T65" s="160" t="s">
        <v>212</v>
      </c>
      <c r="U65" s="164" t="s">
        <v>1433</v>
      </c>
      <c r="V65" s="161" t="s">
        <v>1434</v>
      </c>
      <c r="W65" s="149" t="s">
        <v>551</v>
      </c>
      <c r="X65" s="149" t="s">
        <v>551</v>
      </c>
      <c r="Y65" s="147" t="s">
        <v>82</v>
      </c>
      <c r="Z65" s="147" t="s">
        <v>677</v>
      </c>
      <c r="AA65" s="147" t="s">
        <v>11</v>
      </c>
      <c r="AB65" s="147" t="s">
        <v>1435</v>
      </c>
    </row>
    <row r="66">
      <c r="A66" s="156">
        <v>441.0</v>
      </c>
      <c r="B66" s="259" t="s">
        <v>82</v>
      </c>
      <c r="C66" s="152" t="str">
        <f>HYPERLINK("https://azurlane.koumakan.jp/Sovetskaya_Rossiya","Sovetskaya Rossiya")</f>
        <v>Sovetskaya Rossiya</v>
      </c>
      <c r="D66" s="142" t="s">
        <v>32</v>
      </c>
      <c r="E66" s="261">
        <v>8522.0</v>
      </c>
      <c r="F66" s="261">
        <v>433.0</v>
      </c>
      <c r="G66" s="261">
        <v>0.0</v>
      </c>
      <c r="H66" s="261">
        <v>0.0</v>
      </c>
      <c r="I66" s="261">
        <v>253.0</v>
      </c>
      <c r="J66" s="261">
        <v>141.0</v>
      </c>
      <c r="K66" s="261">
        <v>36.0</v>
      </c>
      <c r="L66" s="261" t="s">
        <v>83</v>
      </c>
      <c r="M66" s="261">
        <v>28.0</v>
      </c>
      <c r="N66" s="262">
        <v>60.0</v>
      </c>
      <c r="O66" s="248">
        <v>46.0</v>
      </c>
      <c r="P66" s="261">
        <v>0.0</v>
      </c>
      <c r="Q66" s="147">
        <v>15.0</v>
      </c>
      <c r="R66" s="261">
        <v>0.0</v>
      </c>
      <c r="S66" s="261">
        <v>0.0</v>
      </c>
      <c r="T66" s="147" t="s">
        <v>212</v>
      </c>
      <c r="U66" s="164" t="s">
        <v>1436</v>
      </c>
      <c r="V66" s="164" t="s">
        <v>1437</v>
      </c>
      <c r="W66" s="149" t="s">
        <v>551</v>
      </c>
      <c r="X66" s="149" t="s">
        <v>551</v>
      </c>
      <c r="Y66" s="147" t="s">
        <v>82</v>
      </c>
      <c r="Z66" s="147" t="s">
        <v>677</v>
      </c>
      <c r="AA66" s="147" t="s">
        <v>11</v>
      </c>
      <c r="AB66" s="147" t="s">
        <v>1356</v>
      </c>
    </row>
    <row r="67">
      <c r="A67" s="156">
        <v>451.0</v>
      </c>
      <c r="B67" s="259" t="s">
        <v>126</v>
      </c>
      <c r="C67" s="152" t="str">
        <f>HYPERLINK("https://azurlane.koumakan.jp/Little_Renown","Little Renown")</f>
        <v>Little Renown</v>
      </c>
      <c r="D67" s="142" t="s">
        <v>28</v>
      </c>
      <c r="E67" s="261">
        <v>6470.0</v>
      </c>
      <c r="F67" s="261">
        <v>349.0</v>
      </c>
      <c r="G67" s="261">
        <v>0.0</v>
      </c>
      <c r="H67" s="261">
        <v>0.0</v>
      </c>
      <c r="I67" s="261">
        <v>309.0</v>
      </c>
      <c r="J67" s="261">
        <v>155.0</v>
      </c>
      <c r="K67" s="261">
        <v>42.0</v>
      </c>
      <c r="L67" s="261" t="s">
        <v>71</v>
      </c>
      <c r="M67" s="261">
        <v>32.0</v>
      </c>
      <c r="N67" s="262">
        <v>70.0</v>
      </c>
      <c r="O67" s="248">
        <v>85.0</v>
      </c>
      <c r="P67" s="261">
        <v>0.0</v>
      </c>
      <c r="Q67" s="261">
        <v>13.0</v>
      </c>
      <c r="R67" s="261">
        <v>0.0</v>
      </c>
      <c r="S67" s="261">
        <v>0.0</v>
      </c>
      <c r="T67" s="147" t="s">
        <v>104</v>
      </c>
      <c r="U67" s="164" t="s">
        <v>1438</v>
      </c>
      <c r="V67" s="148" t="s">
        <v>1439</v>
      </c>
      <c r="W67" s="149" t="s">
        <v>551</v>
      </c>
      <c r="X67" s="149" t="s">
        <v>551</v>
      </c>
      <c r="Y67" s="147" t="s">
        <v>82</v>
      </c>
      <c r="Z67" s="147" t="s">
        <v>27</v>
      </c>
      <c r="AA67" s="147" t="s">
        <v>11</v>
      </c>
      <c r="AB67" s="147" t="s">
        <v>1346</v>
      </c>
    </row>
    <row r="68">
      <c r="A68" s="156">
        <v>453.0</v>
      </c>
      <c r="B68" s="149" t="s">
        <v>82</v>
      </c>
      <c r="C68" s="157" t="s">
        <v>300</v>
      </c>
      <c r="D68" s="142" t="s">
        <v>32</v>
      </c>
      <c r="E68" s="145">
        <v>8629.0</v>
      </c>
      <c r="F68" s="145">
        <v>452.0</v>
      </c>
      <c r="G68" s="145">
        <v>0.0</v>
      </c>
      <c r="H68" s="145">
        <v>0.0</v>
      </c>
      <c r="I68" s="145">
        <v>299.0</v>
      </c>
      <c r="J68" s="145">
        <v>169.0</v>
      </c>
      <c r="K68" s="145">
        <v>44.0</v>
      </c>
      <c r="L68" s="145" t="s">
        <v>83</v>
      </c>
      <c r="M68" s="145">
        <v>32.0</v>
      </c>
      <c r="N68" s="145">
        <v>70.0</v>
      </c>
      <c r="O68" s="165">
        <v>19.0</v>
      </c>
      <c r="P68" s="145">
        <v>0.0</v>
      </c>
      <c r="Q68" s="145">
        <v>15.0</v>
      </c>
      <c r="R68" s="145">
        <v>0.0</v>
      </c>
      <c r="S68" s="145">
        <v>0.0</v>
      </c>
      <c r="T68" s="147" t="s">
        <v>243</v>
      </c>
      <c r="U68" s="148" t="s">
        <v>1440</v>
      </c>
      <c r="V68" s="164" t="s">
        <v>1441</v>
      </c>
      <c r="W68" s="179" t="s">
        <v>1442</v>
      </c>
      <c r="X68" s="149" t="s">
        <v>551</v>
      </c>
      <c r="Y68" s="147" t="s">
        <v>82</v>
      </c>
      <c r="Z68" s="147" t="s">
        <v>677</v>
      </c>
      <c r="AA68" s="147" t="s">
        <v>11</v>
      </c>
      <c r="AB68" s="147" t="s">
        <v>1443</v>
      </c>
    </row>
    <row r="69">
      <c r="A69" s="156">
        <v>461.0</v>
      </c>
      <c r="B69" s="259" t="s">
        <v>82</v>
      </c>
      <c r="C69" s="152" t="s">
        <v>314</v>
      </c>
      <c r="D69" s="142" t="s">
        <v>32</v>
      </c>
      <c r="E69" s="259">
        <v>8155.0</v>
      </c>
      <c r="F69" s="259">
        <v>424.0</v>
      </c>
      <c r="G69" s="259">
        <v>0.0</v>
      </c>
      <c r="H69" s="259">
        <v>0.0</v>
      </c>
      <c r="I69" s="259">
        <v>264.0</v>
      </c>
      <c r="J69" s="259">
        <v>161.0</v>
      </c>
      <c r="K69" s="259">
        <v>36.0</v>
      </c>
      <c r="L69" s="259" t="s">
        <v>83</v>
      </c>
      <c r="M69" s="259">
        <v>28.0</v>
      </c>
      <c r="N69" s="262">
        <v>72.0</v>
      </c>
      <c r="O69" s="248">
        <v>83.0</v>
      </c>
      <c r="P69" s="259">
        <v>0.0</v>
      </c>
      <c r="Q69" s="259">
        <v>15.0</v>
      </c>
      <c r="R69" s="259">
        <v>0.0</v>
      </c>
      <c r="S69" s="259">
        <v>0.0</v>
      </c>
      <c r="T69" s="147" t="s">
        <v>104</v>
      </c>
      <c r="U69" s="164" t="s">
        <v>1444</v>
      </c>
      <c r="V69" s="148" t="s">
        <v>1445</v>
      </c>
      <c r="W69" s="162" t="s">
        <v>551</v>
      </c>
      <c r="X69" s="149" t="s">
        <v>551</v>
      </c>
      <c r="Y69" s="147" t="s">
        <v>82</v>
      </c>
      <c r="Z69" s="147" t="s">
        <v>677</v>
      </c>
      <c r="AA69" s="147" t="s">
        <v>11</v>
      </c>
      <c r="AB69" s="147" t="s">
        <v>1446</v>
      </c>
    </row>
    <row r="70">
      <c r="A70" s="156">
        <v>464.0</v>
      </c>
      <c r="B70" s="259" t="s">
        <v>82</v>
      </c>
      <c r="C70" s="152" t="s">
        <v>318</v>
      </c>
      <c r="D70" s="142" t="s">
        <v>28</v>
      </c>
      <c r="E70" s="259">
        <v>7643.0</v>
      </c>
      <c r="F70" s="259">
        <v>412.0</v>
      </c>
      <c r="G70" s="259">
        <v>0.0</v>
      </c>
      <c r="H70" s="259">
        <v>0.0</v>
      </c>
      <c r="I70" s="259">
        <v>217.0</v>
      </c>
      <c r="J70" s="259">
        <v>152.0</v>
      </c>
      <c r="K70" s="259">
        <v>32.0</v>
      </c>
      <c r="L70" s="259" t="s">
        <v>83</v>
      </c>
      <c r="M70" s="259">
        <v>24.0</v>
      </c>
      <c r="N70" s="262">
        <v>72.0</v>
      </c>
      <c r="O70" s="248">
        <v>72.0</v>
      </c>
      <c r="P70" s="259">
        <v>0.0</v>
      </c>
      <c r="Q70" s="259">
        <v>14.0</v>
      </c>
      <c r="R70" s="259">
        <v>0.0</v>
      </c>
      <c r="S70" s="259">
        <v>0.0</v>
      </c>
      <c r="T70" s="147" t="s">
        <v>104</v>
      </c>
      <c r="U70" s="148" t="s">
        <v>1447</v>
      </c>
      <c r="V70" s="164" t="s">
        <v>1448</v>
      </c>
      <c r="W70" s="162" t="s">
        <v>551</v>
      </c>
      <c r="X70" s="149" t="s">
        <v>551</v>
      </c>
      <c r="Y70" s="147" t="s">
        <v>82</v>
      </c>
      <c r="Z70" s="147" t="s">
        <v>677</v>
      </c>
      <c r="AA70" s="147" t="s">
        <v>11</v>
      </c>
      <c r="AB70" s="147" t="s">
        <v>1329</v>
      </c>
    </row>
    <row r="71">
      <c r="A71" s="156">
        <v>500.0</v>
      </c>
      <c r="B71" s="259" t="s">
        <v>82</v>
      </c>
      <c r="C71" s="171" t="s">
        <v>368</v>
      </c>
      <c r="D71" s="142" t="s">
        <v>32</v>
      </c>
      <c r="E71" s="259">
        <v>8693.0</v>
      </c>
      <c r="F71" s="259">
        <v>434.0</v>
      </c>
      <c r="G71" s="259">
        <v>0.0</v>
      </c>
      <c r="H71" s="259">
        <v>0.0</v>
      </c>
      <c r="I71" s="259">
        <v>248.0</v>
      </c>
      <c r="J71" s="259">
        <v>161.0</v>
      </c>
      <c r="K71" s="259">
        <v>37.0</v>
      </c>
      <c r="L71" s="259" t="s">
        <v>83</v>
      </c>
      <c r="M71" s="259">
        <v>30.0</v>
      </c>
      <c r="N71" s="262">
        <v>60.0</v>
      </c>
      <c r="O71" s="248">
        <v>80.0</v>
      </c>
      <c r="P71" s="259">
        <v>0.0</v>
      </c>
      <c r="Q71" s="259">
        <v>15.0</v>
      </c>
      <c r="R71" s="259">
        <v>0.0</v>
      </c>
      <c r="S71" s="259">
        <v>0.0</v>
      </c>
      <c r="T71" s="147" t="s">
        <v>269</v>
      </c>
      <c r="U71" s="164" t="s">
        <v>1449</v>
      </c>
      <c r="V71" s="148" t="s">
        <v>1450</v>
      </c>
      <c r="W71" s="164" t="s">
        <v>1451</v>
      </c>
      <c r="X71" s="149" t="s">
        <v>551</v>
      </c>
      <c r="Y71" s="147" t="s">
        <v>82</v>
      </c>
      <c r="Z71" s="147" t="s">
        <v>677</v>
      </c>
      <c r="AA71" s="147" t="s">
        <v>11</v>
      </c>
      <c r="AB71" s="147" t="s">
        <v>1329</v>
      </c>
    </row>
    <row r="72">
      <c r="A72" s="156">
        <v>510.0</v>
      </c>
      <c r="B72" s="259" t="s">
        <v>126</v>
      </c>
      <c r="C72" s="171" t="s">
        <v>381</v>
      </c>
      <c r="D72" s="142" t="s">
        <v>28</v>
      </c>
      <c r="E72" s="259">
        <v>7397.0</v>
      </c>
      <c r="F72" s="259">
        <v>372.0</v>
      </c>
      <c r="G72" s="259">
        <v>174.0</v>
      </c>
      <c r="H72" s="259">
        <v>0.0</v>
      </c>
      <c r="I72" s="259">
        <v>185.0</v>
      </c>
      <c r="J72" s="259">
        <v>144.0</v>
      </c>
      <c r="K72" s="259">
        <v>45.0</v>
      </c>
      <c r="L72" s="259" t="s">
        <v>71</v>
      </c>
      <c r="M72" s="259">
        <v>30.0</v>
      </c>
      <c r="N72" s="262">
        <v>70.0</v>
      </c>
      <c r="O72" s="248">
        <v>23.0</v>
      </c>
      <c r="P72" s="259">
        <v>0.0</v>
      </c>
      <c r="Q72" s="259">
        <v>14.0</v>
      </c>
      <c r="R72" s="259">
        <v>0.0</v>
      </c>
      <c r="S72" s="259">
        <v>0.0</v>
      </c>
      <c r="T72" s="147" t="s">
        <v>143</v>
      </c>
      <c r="U72" s="164" t="s">
        <v>1452</v>
      </c>
      <c r="V72" s="148" t="s">
        <v>1453</v>
      </c>
      <c r="W72" s="149" t="s">
        <v>551</v>
      </c>
      <c r="X72" s="149" t="s">
        <v>551</v>
      </c>
      <c r="Y72" s="147" t="s">
        <v>82</v>
      </c>
      <c r="Z72" s="147" t="s">
        <v>677</v>
      </c>
      <c r="AA72" s="147" t="s">
        <v>11</v>
      </c>
      <c r="AB72" s="147" t="s">
        <v>1417</v>
      </c>
    </row>
    <row r="73" ht="15.75" customHeight="1">
      <c r="A73" s="156" t="s">
        <v>405</v>
      </c>
      <c r="B73" s="259" t="s">
        <v>82</v>
      </c>
      <c r="C73" s="171" t="s">
        <v>406</v>
      </c>
      <c r="D73" s="142" t="s">
        <v>28</v>
      </c>
      <c r="E73" s="265">
        <v>7421.0</v>
      </c>
      <c r="F73" s="259">
        <v>405.0</v>
      </c>
      <c r="G73" s="259">
        <v>0.0</v>
      </c>
      <c r="H73" s="259">
        <v>0.0</v>
      </c>
      <c r="I73" s="259">
        <v>238.0</v>
      </c>
      <c r="J73" s="259">
        <v>143.0</v>
      </c>
      <c r="K73" s="259">
        <v>32.0</v>
      </c>
      <c r="L73" s="259" t="s">
        <v>83</v>
      </c>
      <c r="M73" s="259">
        <v>23.0</v>
      </c>
      <c r="N73" s="262">
        <v>67.0</v>
      </c>
      <c r="O73" s="263">
        <v>13.0</v>
      </c>
      <c r="P73" s="259">
        <v>0.0</v>
      </c>
      <c r="Q73" s="259">
        <v>14.0</v>
      </c>
      <c r="R73" s="259">
        <v>0.0</v>
      </c>
      <c r="S73" s="259">
        <v>0.0</v>
      </c>
      <c r="T73" s="147" t="s">
        <v>397</v>
      </c>
      <c r="U73" s="164" t="s">
        <v>1454</v>
      </c>
      <c r="V73" s="148" t="s">
        <v>1455</v>
      </c>
      <c r="W73" s="164" t="s">
        <v>1456</v>
      </c>
      <c r="X73" s="161" t="s">
        <v>1457</v>
      </c>
      <c r="Y73" s="147" t="s">
        <v>82</v>
      </c>
      <c r="Z73" s="147" t="s">
        <v>677</v>
      </c>
      <c r="AA73" s="147" t="s">
        <v>11</v>
      </c>
      <c r="AB73" s="147" t="s">
        <v>1458</v>
      </c>
    </row>
    <row r="74">
      <c r="A74" s="156" t="s">
        <v>427</v>
      </c>
      <c r="B74" s="149" t="s">
        <v>82</v>
      </c>
      <c r="C74" s="157" t="str">
        <f>HYPERLINK("https://azurlane.koumakan.jp/Super_Gamer_Kizuna_AI","Super Gamer Kizuna Ai")</f>
        <v>Super Gamer Kizuna Ai</v>
      </c>
      <c r="D74" s="142" t="s">
        <v>32</v>
      </c>
      <c r="E74" s="158">
        <v>7835.0</v>
      </c>
      <c r="F74" s="158">
        <v>414.0</v>
      </c>
      <c r="G74" s="158">
        <v>214.0</v>
      </c>
      <c r="H74" s="158">
        <v>0.0</v>
      </c>
      <c r="I74" s="158">
        <v>203.0</v>
      </c>
      <c r="J74" s="158">
        <v>144.0</v>
      </c>
      <c r="K74" s="158">
        <v>31.0</v>
      </c>
      <c r="L74" s="158" t="s">
        <v>83</v>
      </c>
      <c r="M74" s="158">
        <v>26.0</v>
      </c>
      <c r="N74" s="158">
        <v>58.0</v>
      </c>
      <c r="O74" s="144">
        <v>66.0</v>
      </c>
      <c r="P74" s="158">
        <v>0.0</v>
      </c>
      <c r="Q74" s="158">
        <v>15.0</v>
      </c>
      <c r="R74" s="158">
        <v>0.0</v>
      </c>
      <c r="S74" s="158">
        <v>0.0</v>
      </c>
      <c r="T74" s="147" t="s">
        <v>421</v>
      </c>
      <c r="U74" s="164" t="s">
        <v>1459</v>
      </c>
      <c r="V74" s="161" t="s">
        <v>1460</v>
      </c>
      <c r="W74" s="149" t="s">
        <v>551</v>
      </c>
      <c r="X74" s="149" t="s">
        <v>551</v>
      </c>
      <c r="Y74" s="147" t="s">
        <v>82</v>
      </c>
      <c r="Z74" s="147" t="s">
        <v>677</v>
      </c>
      <c r="AA74" s="147" t="s">
        <v>11</v>
      </c>
      <c r="AB74" s="147" t="s">
        <v>1329</v>
      </c>
    </row>
    <row r="75" ht="15.75" customHeight="1">
      <c r="A75" s="156" t="s">
        <v>443</v>
      </c>
      <c r="B75" s="259" t="s">
        <v>82</v>
      </c>
      <c r="C75" s="152" t="s">
        <v>444</v>
      </c>
      <c r="D75" s="142" t="s">
        <v>32</v>
      </c>
      <c r="E75" s="259">
        <v>8095.0</v>
      </c>
      <c r="F75" s="259">
        <v>408.0</v>
      </c>
      <c r="G75" s="259">
        <v>0.0</v>
      </c>
      <c r="H75" s="259">
        <v>0.0</v>
      </c>
      <c r="I75" s="259">
        <v>219.0</v>
      </c>
      <c r="J75" s="259">
        <v>146.0</v>
      </c>
      <c r="K75" s="259">
        <v>18.0</v>
      </c>
      <c r="L75" s="259" t="s">
        <v>83</v>
      </c>
      <c r="M75" s="259">
        <v>26.0</v>
      </c>
      <c r="N75" s="262">
        <v>58.0</v>
      </c>
      <c r="O75" s="262">
        <v>91.0</v>
      </c>
      <c r="P75" s="259">
        <v>0.0</v>
      </c>
      <c r="Q75" s="259">
        <v>15.0</v>
      </c>
      <c r="R75" s="259">
        <v>0.0</v>
      </c>
      <c r="S75" s="259">
        <v>0.0</v>
      </c>
      <c r="T75" s="170" t="s">
        <v>441</v>
      </c>
      <c r="U75" s="164" t="s">
        <v>1461</v>
      </c>
      <c r="V75" s="161" t="s">
        <v>1462</v>
      </c>
      <c r="W75" s="149" t="s">
        <v>551</v>
      </c>
      <c r="X75" s="149" t="s">
        <v>551</v>
      </c>
      <c r="Y75" s="147" t="s">
        <v>82</v>
      </c>
      <c r="Z75" s="147" t="s">
        <v>677</v>
      </c>
      <c r="AA75" s="147" t="s">
        <v>11</v>
      </c>
      <c r="AB75" s="147" t="s">
        <v>1356</v>
      </c>
    </row>
    <row r="76">
      <c r="A76" s="156" t="s">
        <v>450</v>
      </c>
      <c r="B76" s="259" t="s">
        <v>82</v>
      </c>
      <c r="C76" s="152" t="s">
        <v>451</v>
      </c>
      <c r="D76" s="142" t="s">
        <v>28</v>
      </c>
      <c r="E76" s="259">
        <v>7689.0</v>
      </c>
      <c r="F76" s="259">
        <v>388.0</v>
      </c>
      <c r="G76" s="259">
        <v>0.0</v>
      </c>
      <c r="H76" s="259">
        <v>0.0</v>
      </c>
      <c r="I76" s="259">
        <v>177.0</v>
      </c>
      <c r="J76" s="259">
        <v>151.0</v>
      </c>
      <c r="K76" s="259">
        <v>40.0</v>
      </c>
      <c r="L76" s="259" t="s">
        <v>83</v>
      </c>
      <c r="M76" s="259">
        <v>30.0</v>
      </c>
      <c r="N76" s="262">
        <v>67.0</v>
      </c>
      <c r="O76" s="248">
        <v>87.0</v>
      </c>
      <c r="P76" s="259">
        <v>0.0</v>
      </c>
      <c r="Q76" s="259">
        <v>14.0</v>
      </c>
      <c r="R76" s="259">
        <v>0.0</v>
      </c>
      <c r="S76" s="259">
        <v>0.0</v>
      </c>
      <c r="T76" s="147" t="s">
        <v>441</v>
      </c>
      <c r="U76" s="164" t="s">
        <v>1463</v>
      </c>
      <c r="V76" s="161" t="s">
        <v>1464</v>
      </c>
      <c r="W76" s="149" t="s">
        <v>551</v>
      </c>
      <c r="X76" s="149" t="s">
        <v>551</v>
      </c>
      <c r="Y76" s="147" t="s">
        <v>82</v>
      </c>
      <c r="Z76" s="147" t="s">
        <v>677</v>
      </c>
      <c r="AA76" s="147" t="s">
        <v>11</v>
      </c>
      <c r="AB76" s="147" t="s">
        <v>1329</v>
      </c>
    </row>
    <row r="77">
      <c r="A77" s="156" t="s">
        <v>462</v>
      </c>
      <c r="B77" s="259" t="s">
        <v>82</v>
      </c>
      <c r="C77" s="171" t="s">
        <v>463</v>
      </c>
      <c r="D77" s="142" t="s">
        <v>32</v>
      </c>
      <c r="E77" s="259">
        <v>8000.0</v>
      </c>
      <c r="F77" s="259">
        <v>426.0</v>
      </c>
      <c r="G77" s="259">
        <v>0.0</v>
      </c>
      <c r="H77" s="259">
        <v>0.0</v>
      </c>
      <c r="I77" s="259">
        <v>384.0</v>
      </c>
      <c r="J77" s="259">
        <v>151.0</v>
      </c>
      <c r="K77" s="259">
        <v>36.0</v>
      </c>
      <c r="L77" s="259" t="s">
        <v>83</v>
      </c>
      <c r="M77" s="259">
        <v>26.0</v>
      </c>
      <c r="N77" s="262">
        <v>57.0</v>
      </c>
      <c r="O77" s="248">
        <v>77.0</v>
      </c>
      <c r="P77" s="259">
        <v>0.0</v>
      </c>
      <c r="Q77" s="259">
        <v>15.0</v>
      </c>
      <c r="R77" s="259">
        <v>0.0</v>
      </c>
      <c r="S77" s="259">
        <v>0.0</v>
      </c>
      <c r="T77" s="147" t="s">
        <v>459</v>
      </c>
      <c r="U77" s="164" t="s">
        <v>1465</v>
      </c>
      <c r="V77" s="161" t="s">
        <v>1466</v>
      </c>
      <c r="W77" s="149" t="s">
        <v>551</v>
      </c>
      <c r="X77" s="149" t="s">
        <v>551</v>
      </c>
      <c r="Y77" s="147" t="s">
        <v>82</v>
      </c>
      <c r="Z77" s="147" t="s">
        <v>27</v>
      </c>
      <c r="AA77" s="147" t="s">
        <v>11</v>
      </c>
      <c r="AB77" s="147" t="s">
        <v>1356</v>
      </c>
    </row>
    <row r="78">
      <c r="A78" s="156" t="s">
        <v>475</v>
      </c>
      <c r="B78" s="149" t="s">
        <v>82</v>
      </c>
      <c r="C78" s="157" t="str">
        <f>HYPERLINK("https://azurlane.koumakan.jp/Monarch","Monarch")</f>
        <v>Monarch</v>
      </c>
      <c r="D78" s="142" t="s">
        <v>473</v>
      </c>
      <c r="E78" s="145">
        <v>8155.0</v>
      </c>
      <c r="F78" s="145">
        <v>432.0</v>
      </c>
      <c r="G78" s="145">
        <v>0.0</v>
      </c>
      <c r="H78" s="145">
        <v>0.0</v>
      </c>
      <c r="I78" s="145">
        <v>235.0</v>
      </c>
      <c r="J78" s="145">
        <v>170.0</v>
      </c>
      <c r="K78" s="145">
        <v>36.0</v>
      </c>
      <c r="L78" s="145" t="s">
        <v>83</v>
      </c>
      <c r="M78" s="145">
        <v>28.0</v>
      </c>
      <c r="N78" s="145">
        <v>68.0</v>
      </c>
      <c r="O78" s="165">
        <v>15.0</v>
      </c>
      <c r="P78" s="145">
        <v>0.0</v>
      </c>
      <c r="Q78" s="145">
        <v>16.0</v>
      </c>
      <c r="R78" s="158">
        <v>0.0</v>
      </c>
      <c r="S78" s="158">
        <v>0.0</v>
      </c>
      <c r="T78" s="147" t="s">
        <v>104</v>
      </c>
      <c r="U78" s="164" t="s">
        <v>1467</v>
      </c>
      <c r="V78" s="161" t="s">
        <v>1468</v>
      </c>
      <c r="W78" s="179" t="s">
        <v>873</v>
      </c>
      <c r="X78" s="149" t="s">
        <v>551</v>
      </c>
      <c r="Y78" s="147" t="s">
        <v>82</v>
      </c>
      <c r="Z78" s="147" t="s">
        <v>677</v>
      </c>
      <c r="AA78" s="147" t="s">
        <v>11</v>
      </c>
      <c r="AB78" s="147" t="s">
        <v>1469</v>
      </c>
    </row>
    <row r="79">
      <c r="A79" s="156" t="s">
        <v>477</v>
      </c>
      <c r="B79" s="149" t="s">
        <v>82</v>
      </c>
      <c r="C79" s="157" t="str">
        <f>HYPERLINK("https://azurlane.koumakan.jp/Izumo","Izumo")</f>
        <v>Izumo</v>
      </c>
      <c r="D79" s="142" t="s">
        <v>473</v>
      </c>
      <c r="E79" s="145">
        <v>8812.0</v>
      </c>
      <c r="F79" s="145">
        <v>437.0</v>
      </c>
      <c r="G79" s="145">
        <v>0.0</v>
      </c>
      <c r="H79" s="145">
        <v>0.0</v>
      </c>
      <c r="I79" s="145">
        <v>242.0</v>
      </c>
      <c r="J79" s="145">
        <v>148.0</v>
      </c>
      <c r="K79" s="145">
        <v>38.0</v>
      </c>
      <c r="L79" s="145" t="s">
        <v>83</v>
      </c>
      <c r="M79" s="145">
        <v>28.0</v>
      </c>
      <c r="N79" s="145">
        <v>68.0</v>
      </c>
      <c r="O79" s="165">
        <v>15.0</v>
      </c>
      <c r="P79" s="145">
        <v>0.0</v>
      </c>
      <c r="Q79" s="145">
        <v>16.0</v>
      </c>
      <c r="R79" s="158">
        <v>0.0</v>
      </c>
      <c r="S79" s="158">
        <v>0.0</v>
      </c>
      <c r="T79" s="147" t="s">
        <v>143</v>
      </c>
      <c r="U79" s="164" t="s">
        <v>1470</v>
      </c>
      <c r="V79" s="161" t="s">
        <v>1471</v>
      </c>
      <c r="W79" s="179" t="s">
        <v>873</v>
      </c>
      <c r="X79" s="149" t="s">
        <v>551</v>
      </c>
      <c r="Y79" s="147" t="s">
        <v>82</v>
      </c>
      <c r="Z79" s="147" t="s">
        <v>677</v>
      </c>
      <c r="AA79" s="147" t="s">
        <v>11</v>
      </c>
      <c r="AB79" s="147" t="s">
        <v>1472</v>
      </c>
    </row>
    <row r="80">
      <c r="A80" s="156" t="s">
        <v>481</v>
      </c>
      <c r="B80" s="149" t="s">
        <v>82</v>
      </c>
      <c r="C80" s="157" t="str">
        <f>HYPERLINK("https://azurlane.koumakan.jp/Georgia","Georgia")</f>
        <v>Georgia</v>
      </c>
      <c r="D80" s="142" t="s">
        <v>473</v>
      </c>
      <c r="E80" s="145">
        <v>8486.0</v>
      </c>
      <c r="F80" s="145">
        <v>445.0</v>
      </c>
      <c r="G80" s="145">
        <v>0.0</v>
      </c>
      <c r="H80" s="145">
        <v>0.0</v>
      </c>
      <c r="I80" s="145">
        <v>418.0</v>
      </c>
      <c r="J80" s="145">
        <v>166.0</v>
      </c>
      <c r="K80" s="145">
        <v>31.0</v>
      </c>
      <c r="L80" s="145" t="s">
        <v>83</v>
      </c>
      <c r="M80" s="145">
        <v>33.0</v>
      </c>
      <c r="N80" s="145">
        <v>75.0</v>
      </c>
      <c r="O80" s="165">
        <v>15.0</v>
      </c>
      <c r="P80" s="145">
        <v>0.0</v>
      </c>
      <c r="Q80" s="145">
        <v>16.0</v>
      </c>
      <c r="R80" s="145">
        <v>0.0</v>
      </c>
      <c r="S80" s="145">
        <v>0.0</v>
      </c>
      <c r="T80" s="147" t="s">
        <v>37</v>
      </c>
      <c r="U80" s="148" t="s">
        <v>1473</v>
      </c>
      <c r="V80" s="164" t="s">
        <v>1474</v>
      </c>
      <c r="W80" s="179" t="s">
        <v>873</v>
      </c>
      <c r="X80" s="149" t="s">
        <v>551</v>
      </c>
      <c r="Y80" s="147" t="s">
        <v>82</v>
      </c>
      <c r="Z80" s="147" t="s">
        <v>27</v>
      </c>
      <c r="AA80" s="147" t="s">
        <v>11</v>
      </c>
      <c r="AB80" s="147" t="s">
        <v>1475</v>
      </c>
    </row>
    <row r="81">
      <c r="A81" s="156" t="s">
        <v>486</v>
      </c>
      <c r="B81" s="149" t="s">
        <v>82</v>
      </c>
      <c r="C81" s="157" t="str">
        <f>HYPERLINK("https://azurlane.koumakan.jp/Friedrich_der_Grosse","Friedrich der Große")</f>
        <v>Friedrich der Große</v>
      </c>
      <c r="D81" s="142" t="s">
        <v>485</v>
      </c>
      <c r="E81" s="168">
        <v>10122.0</v>
      </c>
      <c r="F81" s="145">
        <v>458.0</v>
      </c>
      <c r="G81" s="145">
        <v>0.0</v>
      </c>
      <c r="H81" s="145">
        <v>0.0</v>
      </c>
      <c r="I81" s="145">
        <v>246.0</v>
      </c>
      <c r="J81" s="145">
        <v>159.0</v>
      </c>
      <c r="K81" s="145">
        <v>28.0</v>
      </c>
      <c r="L81" s="145" t="s">
        <v>83</v>
      </c>
      <c r="M81" s="145">
        <v>30.0</v>
      </c>
      <c r="N81" s="145">
        <v>67.0</v>
      </c>
      <c r="O81" s="165">
        <v>0.0</v>
      </c>
      <c r="P81" s="145">
        <v>0.0</v>
      </c>
      <c r="Q81" s="145">
        <v>19.0</v>
      </c>
      <c r="R81" s="145">
        <v>0.0</v>
      </c>
      <c r="S81" s="145">
        <v>0.0</v>
      </c>
      <c r="T81" s="147" t="s">
        <v>193</v>
      </c>
      <c r="U81" s="164" t="s">
        <v>1476</v>
      </c>
      <c r="V81" s="164" t="s">
        <v>1477</v>
      </c>
      <c r="W81" s="148" t="s">
        <v>1478</v>
      </c>
      <c r="X81" s="179" t="s">
        <v>873</v>
      </c>
      <c r="Y81" s="147" t="s">
        <v>82</v>
      </c>
      <c r="Z81" s="147" t="s">
        <v>677</v>
      </c>
      <c r="AA81" s="147" t="s">
        <v>11</v>
      </c>
      <c r="AB81" s="147" t="s">
        <v>1479</v>
      </c>
    </row>
    <row r="82">
      <c r="A82" s="156" t="s">
        <v>487</v>
      </c>
      <c r="B82" s="149" t="s">
        <v>82</v>
      </c>
      <c r="C82" s="157" t="str">
        <f>HYPERLINK("https://azurlane.koumakan.jp/Gascogne","Gascogne")</f>
        <v>Gascogne</v>
      </c>
      <c r="D82" s="142" t="s">
        <v>473</v>
      </c>
      <c r="E82" s="145">
        <v>8047.0</v>
      </c>
      <c r="F82" s="145">
        <v>439.0</v>
      </c>
      <c r="G82" s="145">
        <v>0.0</v>
      </c>
      <c r="H82" s="145">
        <v>0.0</v>
      </c>
      <c r="I82" s="145">
        <v>247.0</v>
      </c>
      <c r="J82" s="145">
        <v>170.0</v>
      </c>
      <c r="K82" s="145">
        <v>37.0</v>
      </c>
      <c r="L82" s="145" t="s">
        <v>83</v>
      </c>
      <c r="M82" s="145">
        <v>32.0</v>
      </c>
      <c r="N82" s="145">
        <v>73.0</v>
      </c>
      <c r="O82" s="165">
        <v>15.0</v>
      </c>
      <c r="P82" s="145">
        <v>0.0</v>
      </c>
      <c r="Q82" s="145">
        <v>16.0</v>
      </c>
      <c r="R82" s="145">
        <v>0.0</v>
      </c>
      <c r="S82" s="145">
        <v>0.0</v>
      </c>
      <c r="T82" s="147" t="s">
        <v>247</v>
      </c>
      <c r="U82" s="161" t="s">
        <v>1480</v>
      </c>
      <c r="V82" s="164" t="s">
        <v>1481</v>
      </c>
      <c r="W82" s="179" t="s">
        <v>873</v>
      </c>
      <c r="X82" s="149" t="s">
        <v>551</v>
      </c>
      <c r="Y82" s="147" t="s">
        <v>82</v>
      </c>
      <c r="Z82" s="147" t="s">
        <v>677</v>
      </c>
      <c r="AA82" s="147" t="s">
        <v>11</v>
      </c>
      <c r="AB82" s="147" t="s">
        <v>1482</v>
      </c>
    </row>
    <row r="83">
      <c r="A83" s="156" t="s">
        <v>494</v>
      </c>
      <c r="B83" s="259" t="s">
        <v>126</v>
      </c>
      <c r="C83" s="152" t="s">
        <v>495</v>
      </c>
      <c r="D83" s="142" t="s">
        <v>473</v>
      </c>
      <c r="E83" s="259">
        <v>7296.0</v>
      </c>
      <c r="F83" s="259">
        <v>369.0</v>
      </c>
      <c r="G83" s="259">
        <v>246.0</v>
      </c>
      <c r="H83" s="259">
        <v>0.0</v>
      </c>
      <c r="I83" s="259">
        <v>345.0</v>
      </c>
      <c r="J83" s="259">
        <v>173.0</v>
      </c>
      <c r="K83" s="259">
        <v>38.0</v>
      </c>
      <c r="L83" s="259" t="s">
        <v>83</v>
      </c>
      <c r="M83" s="259">
        <v>30.0</v>
      </c>
      <c r="N83" s="262">
        <v>63.0</v>
      </c>
      <c r="O83" s="248">
        <v>15.0</v>
      </c>
      <c r="P83" s="259">
        <v>0.0</v>
      </c>
      <c r="Q83" s="259">
        <v>16.0</v>
      </c>
      <c r="R83" s="259">
        <v>0.0</v>
      </c>
      <c r="S83" s="259">
        <v>0.0</v>
      </c>
      <c r="T83" s="147" t="s">
        <v>193</v>
      </c>
      <c r="U83" s="148" t="s">
        <v>1483</v>
      </c>
      <c r="V83" s="164" t="s">
        <v>1484</v>
      </c>
      <c r="W83" s="179" t="s">
        <v>873</v>
      </c>
      <c r="X83" s="149" t="s">
        <v>551</v>
      </c>
      <c r="Y83" s="147" t="s">
        <v>82</v>
      </c>
      <c r="Z83" s="147" t="s">
        <v>557</v>
      </c>
      <c r="AA83" s="147" t="s">
        <v>11</v>
      </c>
      <c r="AB83" s="147" t="s">
        <v>1485</v>
      </c>
    </row>
    <row r="84">
      <c r="A84" s="156" t="s">
        <v>496</v>
      </c>
      <c r="B84" s="259" t="s">
        <v>82</v>
      </c>
      <c r="C84" s="152" t="s">
        <v>497</v>
      </c>
      <c r="D84" s="142" t="s">
        <v>473</v>
      </c>
      <c r="E84" s="259">
        <v>7058.0</v>
      </c>
      <c r="F84" s="297">
        <v>464.0</v>
      </c>
      <c r="G84" s="259">
        <v>0.0</v>
      </c>
      <c r="H84" s="259">
        <v>0.0</v>
      </c>
      <c r="I84" s="259">
        <v>247.0</v>
      </c>
      <c r="J84" s="297">
        <v>183.0</v>
      </c>
      <c r="K84" s="259">
        <v>37.0</v>
      </c>
      <c r="L84" s="259" t="s">
        <v>83</v>
      </c>
      <c r="M84" s="259">
        <v>32.0</v>
      </c>
      <c r="N84" s="262">
        <v>79.0</v>
      </c>
      <c r="O84" s="248">
        <v>15.0</v>
      </c>
      <c r="P84" s="259">
        <v>0.0</v>
      </c>
      <c r="Q84" s="259">
        <v>16.0</v>
      </c>
      <c r="R84" s="259">
        <v>0.0</v>
      </c>
      <c r="S84" s="259">
        <v>0.0</v>
      </c>
      <c r="T84" s="147" t="s">
        <v>243</v>
      </c>
      <c r="U84" s="164" t="s">
        <v>1486</v>
      </c>
      <c r="V84" s="148" t="s">
        <v>1487</v>
      </c>
      <c r="W84" s="179" t="s">
        <v>873</v>
      </c>
      <c r="X84" s="149" t="s">
        <v>551</v>
      </c>
      <c r="Y84" s="147" t="s">
        <v>82</v>
      </c>
      <c r="Z84" s="147" t="s">
        <v>677</v>
      </c>
      <c r="AA84" s="147" t="s">
        <v>11</v>
      </c>
      <c r="AB84" s="147" t="s">
        <v>1482</v>
      </c>
    </row>
    <row r="85">
      <c r="A85" s="156" t="s">
        <v>506</v>
      </c>
      <c r="B85" s="259" t="s">
        <v>82</v>
      </c>
      <c r="C85" s="171" t="s">
        <v>507</v>
      </c>
      <c r="D85" s="142" t="s">
        <v>473</v>
      </c>
      <c r="E85" s="259">
        <v>8621.0</v>
      </c>
      <c r="F85" s="259">
        <v>441.0</v>
      </c>
      <c r="G85" s="259">
        <v>0.0</v>
      </c>
      <c r="H85" s="259">
        <v>0.0</v>
      </c>
      <c r="I85" s="259">
        <v>264.0</v>
      </c>
      <c r="J85" s="259">
        <v>158.0</v>
      </c>
      <c r="K85" s="259">
        <v>41.0</v>
      </c>
      <c r="L85" s="259" t="s">
        <v>83</v>
      </c>
      <c r="M85" s="259">
        <v>32.0</v>
      </c>
      <c r="N85" s="262">
        <v>66.0</v>
      </c>
      <c r="O85" s="248">
        <v>0.0</v>
      </c>
      <c r="P85" s="259">
        <v>0.0</v>
      </c>
      <c r="Q85" s="259">
        <v>16.0</v>
      </c>
      <c r="R85" s="259">
        <v>0.0</v>
      </c>
      <c r="S85" s="259">
        <v>0.0</v>
      </c>
      <c r="T85" s="147" t="s">
        <v>269</v>
      </c>
      <c r="U85" s="164" t="s">
        <v>1488</v>
      </c>
      <c r="V85" s="161" t="s">
        <v>1489</v>
      </c>
      <c r="W85" s="148" t="s">
        <v>1490</v>
      </c>
      <c r="X85" s="179" t="s">
        <v>873</v>
      </c>
      <c r="Y85" s="147" t="s">
        <v>82</v>
      </c>
      <c r="Z85" s="147" t="s">
        <v>677</v>
      </c>
      <c r="AA85" s="147" t="s">
        <v>11</v>
      </c>
      <c r="AB85" s="147" t="s">
        <v>1491</v>
      </c>
    </row>
    <row r="86">
      <c r="A86" s="156" t="s">
        <v>523</v>
      </c>
      <c r="B86" s="259" t="s">
        <v>82</v>
      </c>
      <c r="C86" s="171" t="s">
        <v>524</v>
      </c>
      <c r="D86" s="142" t="s">
        <v>32</v>
      </c>
      <c r="E86" s="259">
        <v>7820.0</v>
      </c>
      <c r="F86" s="259">
        <v>434.0</v>
      </c>
      <c r="G86" s="259">
        <v>0.0</v>
      </c>
      <c r="H86" s="259">
        <v>0.0</v>
      </c>
      <c r="I86" s="259">
        <v>360.0</v>
      </c>
      <c r="J86" s="259">
        <v>157.0</v>
      </c>
      <c r="K86" s="259">
        <v>36.0</v>
      </c>
      <c r="L86" s="259" t="s">
        <v>83</v>
      </c>
      <c r="M86" s="259">
        <v>26.0</v>
      </c>
      <c r="N86" s="262">
        <v>66.0</v>
      </c>
      <c r="O86" s="248">
        <v>55.0</v>
      </c>
      <c r="P86" s="259">
        <v>0.0</v>
      </c>
      <c r="Q86" s="259">
        <v>15.0</v>
      </c>
      <c r="R86" s="259">
        <v>0.0</v>
      </c>
      <c r="S86" s="259">
        <v>0.0</v>
      </c>
      <c r="T86" s="147" t="s">
        <v>512</v>
      </c>
      <c r="U86" s="164" t="s">
        <v>1492</v>
      </c>
      <c r="V86" s="164" t="s">
        <v>1493</v>
      </c>
      <c r="W86" s="161" t="s">
        <v>1494</v>
      </c>
      <c r="X86" s="149" t="s">
        <v>551</v>
      </c>
      <c r="Y86" s="147" t="s">
        <v>82</v>
      </c>
      <c r="Z86" s="147" t="s">
        <v>677</v>
      </c>
      <c r="AA86" s="147" t="s">
        <v>11</v>
      </c>
      <c r="AB86" s="147" t="s">
        <v>1356</v>
      </c>
    </row>
    <row r="87">
      <c r="A87" s="156" t="s">
        <v>525</v>
      </c>
      <c r="B87" s="259" t="s">
        <v>82</v>
      </c>
      <c r="C87" s="171" t="s">
        <v>526</v>
      </c>
      <c r="D87" s="142" t="s">
        <v>28</v>
      </c>
      <c r="E87" s="259">
        <v>7766.0</v>
      </c>
      <c r="F87" s="259">
        <v>399.0</v>
      </c>
      <c r="G87" s="259">
        <v>0.0</v>
      </c>
      <c r="H87" s="259">
        <v>0.0</v>
      </c>
      <c r="I87" s="259">
        <v>197.0</v>
      </c>
      <c r="J87" s="259">
        <v>138.0</v>
      </c>
      <c r="K87" s="259">
        <v>40.0</v>
      </c>
      <c r="L87" s="259" t="s">
        <v>83</v>
      </c>
      <c r="M87" s="259">
        <v>30.0</v>
      </c>
      <c r="N87" s="262">
        <v>62.0</v>
      </c>
      <c r="O87" s="248">
        <v>55.0</v>
      </c>
      <c r="P87" s="259">
        <v>0.0</v>
      </c>
      <c r="Q87" s="259">
        <v>14.0</v>
      </c>
      <c r="R87" s="259">
        <v>0.0</v>
      </c>
      <c r="S87" s="259">
        <v>0.0</v>
      </c>
      <c r="T87" s="147" t="s">
        <v>512</v>
      </c>
      <c r="U87" s="164" t="s">
        <v>1495</v>
      </c>
      <c r="V87" s="164" t="s">
        <v>1496</v>
      </c>
      <c r="W87" s="149" t="s">
        <v>551</v>
      </c>
      <c r="X87" s="149" t="s">
        <v>551</v>
      </c>
      <c r="Y87" s="147" t="s">
        <v>82</v>
      </c>
      <c r="Z87" s="147" t="s">
        <v>677</v>
      </c>
      <c r="AA87" s="147" t="s">
        <v>11</v>
      </c>
      <c r="AB87" s="147" t="s">
        <v>1329</v>
      </c>
    </row>
    <row r="88">
      <c r="A88" s="156">
        <v>529.0</v>
      </c>
      <c r="B88" s="259" t="s">
        <v>82</v>
      </c>
      <c r="C88" s="171" t="s">
        <v>529</v>
      </c>
      <c r="D88" s="142" t="s">
        <v>34</v>
      </c>
      <c r="E88" s="259">
        <v>9741.0</v>
      </c>
      <c r="F88" s="259">
        <v>454.0</v>
      </c>
      <c r="G88" s="259">
        <v>0.0</v>
      </c>
      <c r="H88" s="259">
        <v>0.0</v>
      </c>
      <c r="I88" s="259">
        <v>257.0</v>
      </c>
      <c r="J88" s="259">
        <v>180.0</v>
      </c>
      <c r="K88" s="259">
        <v>28.0</v>
      </c>
      <c r="L88" s="259" t="s">
        <v>83</v>
      </c>
      <c r="M88" s="259">
        <v>30.0</v>
      </c>
      <c r="N88" s="262">
        <v>69.0</v>
      </c>
      <c r="O88" s="248">
        <v>50.0</v>
      </c>
      <c r="P88" s="259">
        <v>0.0</v>
      </c>
      <c r="Q88" s="259">
        <v>17.0</v>
      </c>
      <c r="R88" s="259">
        <v>0.0</v>
      </c>
      <c r="S88" s="259">
        <v>0.0</v>
      </c>
      <c r="T88" s="147" t="s">
        <v>193</v>
      </c>
      <c r="U88" s="164" t="s">
        <v>1497</v>
      </c>
      <c r="V88" s="148" t="s">
        <v>1498</v>
      </c>
      <c r="W88" s="164" t="s">
        <v>1499</v>
      </c>
      <c r="X88" s="149" t="s">
        <v>551</v>
      </c>
      <c r="Y88" s="147" t="s">
        <v>82</v>
      </c>
      <c r="Z88" s="147" t="s">
        <v>677</v>
      </c>
      <c r="AA88" s="147" t="s">
        <v>11</v>
      </c>
      <c r="AB88" s="147" t="s">
        <v>1500</v>
      </c>
    </row>
    <row r="89">
      <c r="A89" s="156" t="s">
        <v>531</v>
      </c>
      <c r="B89" s="259" t="s">
        <v>126</v>
      </c>
      <c r="C89" s="171" t="s">
        <v>532</v>
      </c>
      <c r="D89" s="142" t="s">
        <v>32</v>
      </c>
      <c r="E89" s="259">
        <v>7607.0</v>
      </c>
      <c r="F89" s="259">
        <v>394.0</v>
      </c>
      <c r="G89" s="259">
        <v>170.0</v>
      </c>
      <c r="H89" s="259">
        <v>0.0</v>
      </c>
      <c r="I89" s="259">
        <v>291.0</v>
      </c>
      <c r="J89" s="259">
        <v>166.0</v>
      </c>
      <c r="K89" s="259">
        <v>35.0</v>
      </c>
      <c r="L89" s="259" t="s">
        <v>71</v>
      </c>
      <c r="M89" s="259">
        <v>31.0</v>
      </c>
      <c r="N89" s="262">
        <v>65.0</v>
      </c>
      <c r="O89" s="248">
        <v>64.0</v>
      </c>
      <c r="P89" s="259">
        <v>0.0</v>
      </c>
      <c r="Q89" s="259">
        <v>15.0</v>
      </c>
      <c r="R89" s="259">
        <v>0.0</v>
      </c>
      <c r="S89" s="259">
        <v>0.0</v>
      </c>
      <c r="T89" s="147" t="s">
        <v>397</v>
      </c>
      <c r="U89" s="164" t="s">
        <v>1501</v>
      </c>
      <c r="V89" s="148" t="s">
        <v>1502</v>
      </c>
      <c r="W89" s="161" t="s">
        <v>1503</v>
      </c>
      <c r="X89" s="148" t="s">
        <v>1504</v>
      </c>
      <c r="Y89" s="147" t="s">
        <v>82</v>
      </c>
      <c r="Z89" s="147" t="s">
        <v>677</v>
      </c>
      <c r="AA89" s="147" t="s">
        <v>11</v>
      </c>
      <c r="AB89" s="147" t="s">
        <v>1329</v>
      </c>
    </row>
    <row r="90">
      <c r="A90" s="299"/>
      <c r="B90" s="269"/>
      <c r="C90" s="270"/>
      <c r="D90" s="142"/>
      <c r="E90" s="269"/>
      <c r="F90" s="269"/>
      <c r="G90" s="269"/>
      <c r="H90" s="269"/>
      <c r="I90" s="269"/>
      <c r="J90" s="269"/>
      <c r="K90" s="269"/>
      <c r="L90" s="269"/>
      <c r="M90" s="269"/>
      <c r="N90" s="272"/>
      <c r="O90" s="273"/>
      <c r="P90" s="269"/>
      <c r="Q90" s="269"/>
      <c r="R90" s="269"/>
      <c r="S90" s="269"/>
      <c r="T90" s="147"/>
      <c r="U90" s="269"/>
      <c r="V90" s="269"/>
      <c r="W90" s="269"/>
      <c r="X90" s="269"/>
      <c r="Y90" s="271"/>
      <c r="Z90" s="271"/>
      <c r="AA90" s="271"/>
      <c r="AB90" s="271"/>
    </row>
    <row r="91">
      <c r="A91" s="299"/>
      <c r="B91" s="269"/>
      <c r="C91" s="270"/>
      <c r="D91" s="142"/>
      <c r="E91" s="269"/>
      <c r="F91" s="269"/>
      <c r="G91" s="269"/>
      <c r="H91" s="269"/>
      <c r="I91" s="269"/>
      <c r="J91" s="269"/>
      <c r="K91" s="269"/>
      <c r="L91" s="269"/>
      <c r="M91" s="269"/>
      <c r="N91" s="272"/>
      <c r="O91" s="273"/>
      <c r="P91" s="269"/>
      <c r="Q91" s="269"/>
      <c r="R91" s="269"/>
      <c r="S91" s="269"/>
      <c r="T91" s="147"/>
      <c r="U91" s="269"/>
      <c r="V91" s="269"/>
      <c r="W91" s="269"/>
      <c r="X91" s="269"/>
      <c r="Y91" s="271"/>
      <c r="Z91" s="271"/>
      <c r="AA91" s="271"/>
      <c r="AB91" s="271"/>
    </row>
    <row r="92">
      <c r="A92" s="299"/>
      <c r="B92" s="269"/>
      <c r="C92" s="270"/>
      <c r="D92" s="142"/>
      <c r="E92" s="269"/>
      <c r="F92" s="269"/>
      <c r="G92" s="269"/>
      <c r="H92" s="269"/>
      <c r="I92" s="269"/>
      <c r="J92" s="269"/>
      <c r="K92" s="269"/>
      <c r="L92" s="269"/>
      <c r="M92" s="269"/>
      <c r="N92" s="272"/>
      <c r="O92" s="273"/>
      <c r="P92" s="269"/>
      <c r="Q92" s="269"/>
      <c r="R92" s="269"/>
      <c r="S92" s="269"/>
      <c r="T92" s="147"/>
      <c r="U92" s="269"/>
      <c r="V92" s="269"/>
      <c r="W92" s="269"/>
      <c r="X92" s="269"/>
      <c r="Y92" s="271"/>
      <c r="Z92" s="271"/>
      <c r="AA92" s="271"/>
      <c r="AB92" s="271"/>
    </row>
    <row r="93">
      <c r="A93" s="299"/>
      <c r="B93" s="269"/>
      <c r="C93" s="270"/>
      <c r="D93" s="142"/>
      <c r="E93" s="269"/>
      <c r="F93" s="269"/>
      <c r="G93" s="269"/>
      <c r="H93" s="269"/>
      <c r="I93" s="269"/>
      <c r="J93" s="269"/>
      <c r="K93" s="269"/>
      <c r="L93" s="269"/>
      <c r="M93" s="269"/>
      <c r="N93" s="272"/>
      <c r="O93" s="273"/>
      <c r="P93" s="269"/>
      <c r="Q93" s="269"/>
      <c r="R93" s="269"/>
      <c r="S93" s="269"/>
      <c r="T93" s="147"/>
      <c r="U93" s="269"/>
      <c r="V93" s="269"/>
      <c r="W93" s="269"/>
      <c r="X93" s="269"/>
      <c r="Y93" s="271"/>
      <c r="Z93" s="271"/>
      <c r="AA93" s="271"/>
      <c r="AB93" s="271"/>
    </row>
    <row r="94">
      <c r="A94" s="299"/>
      <c r="B94" s="269"/>
      <c r="C94" s="270"/>
      <c r="D94" s="142"/>
      <c r="E94" s="269"/>
      <c r="F94" s="269"/>
      <c r="G94" s="269"/>
      <c r="H94" s="269"/>
      <c r="I94" s="269"/>
      <c r="J94" s="269"/>
      <c r="K94" s="269"/>
      <c r="L94" s="269"/>
      <c r="M94" s="269"/>
      <c r="N94" s="272"/>
      <c r="O94" s="273"/>
      <c r="P94" s="269"/>
      <c r="Q94" s="269"/>
      <c r="R94" s="269"/>
      <c r="S94" s="269"/>
      <c r="T94" s="147"/>
      <c r="U94" s="269"/>
      <c r="V94" s="269"/>
      <c r="W94" s="269"/>
      <c r="X94" s="269"/>
      <c r="Y94" s="271"/>
      <c r="Z94" s="271"/>
      <c r="AA94" s="271"/>
      <c r="AB94" s="271"/>
    </row>
    <row r="95">
      <c r="A95" s="299"/>
      <c r="B95" s="269"/>
      <c r="C95" s="270"/>
      <c r="D95" s="142"/>
      <c r="E95" s="269"/>
      <c r="F95" s="269"/>
      <c r="G95" s="269"/>
      <c r="H95" s="269"/>
      <c r="I95" s="269"/>
      <c r="J95" s="269"/>
      <c r="K95" s="269"/>
      <c r="L95" s="269"/>
      <c r="M95" s="269"/>
      <c r="N95" s="272"/>
      <c r="O95" s="273"/>
      <c r="P95" s="269"/>
      <c r="Q95" s="269"/>
      <c r="R95" s="269"/>
      <c r="S95" s="269"/>
      <c r="T95" s="147"/>
      <c r="U95" s="269"/>
      <c r="V95" s="269"/>
      <c r="W95" s="269"/>
      <c r="X95" s="269"/>
      <c r="Y95" s="271"/>
      <c r="Z95" s="271"/>
      <c r="AA95" s="271"/>
      <c r="AB95" s="271"/>
    </row>
    <row r="96">
      <c r="A96" s="299"/>
      <c r="B96" s="269"/>
      <c r="C96" s="270"/>
      <c r="D96" s="142"/>
      <c r="E96" s="269"/>
      <c r="F96" s="269"/>
      <c r="G96" s="269"/>
      <c r="H96" s="269"/>
      <c r="I96" s="269"/>
      <c r="J96" s="269"/>
      <c r="K96" s="269"/>
      <c r="L96" s="269"/>
      <c r="M96" s="269"/>
      <c r="N96" s="272"/>
      <c r="O96" s="273"/>
      <c r="P96" s="269"/>
      <c r="Q96" s="269"/>
      <c r="R96" s="269"/>
      <c r="S96" s="269"/>
      <c r="T96" s="147"/>
      <c r="U96" s="269"/>
      <c r="V96" s="269"/>
      <c r="W96" s="269"/>
      <c r="X96" s="269"/>
      <c r="Y96" s="271"/>
      <c r="Z96" s="271"/>
      <c r="AA96" s="271"/>
      <c r="AB96" s="271"/>
    </row>
    <row r="97">
      <c r="A97" s="299"/>
      <c r="B97" s="269"/>
      <c r="C97" s="270"/>
      <c r="D97" s="142"/>
      <c r="E97" s="269"/>
      <c r="F97" s="269"/>
      <c r="G97" s="269"/>
      <c r="H97" s="269"/>
      <c r="I97" s="269"/>
      <c r="J97" s="269"/>
      <c r="K97" s="269"/>
      <c r="L97" s="269"/>
      <c r="M97" s="269"/>
      <c r="N97" s="272"/>
      <c r="O97" s="273"/>
      <c r="P97" s="269"/>
      <c r="Q97" s="269"/>
      <c r="R97" s="269"/>
      <c r="S97" s="269"/>
      <c r="T97" s="147"/>
      <c r="U97" s="269"/>
      <c r="V97" s="269"/>
      <c r="W97" s="269"/>
      <c r="X97" s="269"/>
      <c r="Y97" s="271"/>
      <c r="Z97" s="271"/>
      <c r="AA97" s="271"/>
      <c r="AB97" s="271"/>
    </row>
    <row r="98">
      <c r="A98" s="299"/>
      <c r="B98" s="269"/>
      <c r="C98" s="270"/>
      <c r="D98" s="142"/>
      <c r="E98" s="269"/>
      <c r="F98" s="269"/>
      <c r="G98" s="269"/>
      <c r="H98" s="269"/>
      <c r="I98" s="269"/>
      <c r="J98" s="269"/>
      <c r="K98" s="269"/>
      <c r="L98" s="269"/>
      <c r="M98" s="269"/>
      <c r="N98" s="272"/>
      <c r="O98" s="273"/>
      <c r="P98" s="269"/>
      <c r="Q98" s="269"/>
      <c r="R98" s="269"/>
      <c r="S98" s="269"/>
      <c r="T98" s="147"/>
      <c r="U98" s="269"/>
      <c r="V98" s="269"/>
      <c r="W98" s="269"/>
      <c r="X98" s="269"/>
      <c r="Y98" s="271"/>
      <c r="Z98" s="271"/>
      <c r="AA98" s="271"/>
      <c r="AB98" s="271"/>
    </row>
  </sheetData>
  <customSheetViews>
    <customSheetView guid="{9DC526C2-9056-41E1-BFB1-A0E348919450}" filter="1" showAutoFilter="1">
      <autoFilter ref="$A$1:$AB$89">
        <filterColumn colId="19">
          <filters>
            <filter val="SSSS"/>
            <filter val="Idolmaster"/>
            <filter val="Iron Blood"/>
            <filter val="Ashes"/>
            <filter val="Royal Navy"/>
          </filters>
        </filterColumn>
      </autoFilter>
    </customSheetView>
    <customSheetView guid="{89A112BF-7670-4149-A23D-9DE7296E8357}" filter="1" showAutoFilter="1">
      <autoFilter ref="$A$1:$Y$98"/>
    </customSheetView>
  </customSheetViews>
  <conditionalFormatting sqref="T1:T98">
    <cfRule type="cellIs" dxfId="27" priority="1" operator="equal">
      <formula>"Venus"</formula>
    </cfRule>
  </conditionalFormatting>
  <conditionalFormatting sqref="T65 T78">
    <cfRule type="cellIs" dxfId="24" priority="2" operator="equal">
      <formula>"Hololive"</formula>
    </cfRule>
  </conditionalFormatting>
  <conditionalFormatting sqref="T1:T98">
    <cfRule type="cellIs" dxfId="12" priority="3" operator="equal">
      <formula>"Sardegna Empire"</formula>
    </cfRule>
  </conditionalFormatting>
  <conditionalFormatting sqref="T1:T98">
    <cfRule type="cellIs" dxfId="23" priority="4" operator="equal">
      <formula>"Universal"</formula>
    </cfRule>
  </conditionalFormatting>
  <conditionalFormatting sqref="D2:D98">
    <cfRule type="cellIs" dxfId="4" priority="5" operator="equal">
      <formula>"Priority"</formula>
    </cfRule>
  </conditionalFormatting>
  <conditionalFormatting sqref="D2:D98">
    <cfRule type="cellIs" dxfId="5" priority="6" operator="equal">
      <formula>"Decisive"</formula>
    </cfRule>
  </conditionalFormatting>
  <conditionalFormatting sqref="T1:T98">
    <cfRule type="cellIs" dxfId="22" priority="7" operator="equal">
      <formula>"Kizuna Ai"</formula>
    </cfRule>
  </conditionalFormatting>
  <conditionalFormatting sqref="T1:T98">
    <cfRule type="cellIs" dxfId="3" priority="8" operator="equal">
      <formula>"Neptunia"</formula>
    </cfRule>
  </conditionalFormatting>
  <conditionalFormatting sqref="W1">
    <cfRule type="containsBlanks" dxfId="31" priority="9">
      <formula>LEN(TRIM(W1))=0</formula>
    </cfRule>
  </conditionalFormatting>
  <conditionalFormatting sqref="D2:D98">
    <cfRule type="cellIs" dxfId="1" priority="10" operator="equal">
      <formula>"Common"</formula>
    </cfRule>
  </conditionalFormatting>
  <conditionalFormatting sqref="D2:D98">
    <cfRule type="cellIs" dxfId="2" priority="11" operator="equal">
      <formula>"Rare"</formula>
    </cfRule>
  </conditionalFormatting>
  <conditionalFormatting sqref="D2:D98">
    <cfRule type="cellIs" dxfId="3" priority="12" operator="equal">
      <formula>"Elite"</formula>
    </cfRule>
  </conditionalFormatting>
  <conditionalFormatting sqref="D2:D98">
    <cfRule type="cellIs" dxfId="4" priority="13" operator="equal">
      <formula>"Super Rare"</formula>
    </cfRule>
  </conditionalFormatting>
  <conditionalFormatting sqref="D2:D98">
    <cfRule type="cellIs" dxfId="5" priority="14" operator="equal">
      <formula>"Ultra Rare"</formula>
    </cfRule>
  </conditionalFormatting>
  <conditionalFormatting sqref="B1:B98">
    <cfRule type="cellIs" dxfId="9" priority="15" operator="equal">
      <formula>"BB"</formula>
    </cfRule>
  </conditionalFormatting>
  <conditionalFormatting sqref="B1:B98">
    <cfRule type="cellIs" dxfId="5" priority="16" operator="equal">
      <formula>"BC"</formula>
    </cfRule>
  </conditionalFormatting>
  <conditionalFormatting sqref="B1:B98">
    <cfRule type="cellIs" dxfId="11" priority="17" operator="equal">
      <formula>"BM"</formula>
    </cfRule>
  </conditionalFormatting>
  <conditionalFormatting sqref="B1:B98">
    <cfRule type="cellIs" dxfId="14" priority="18" operator="equal">
      <formula>"BBV"</formula>
    </cfRule>
  </conditionalFormatting>
  <conditionalFormatting sqref="T1:T98">
    <cfRule type="cellIs" dxfId="15" priority="19" operator="equal">
      <formula>"Northern Parliament"</formula>
    </cfRule>
  </conditionalFormatting>
  <conditionalFormatting sqref="T1:T98">
    <cfRule type="cellIs" dxfId="2" priority="20" operator="equal">
      <formula>"Eagle Union"</formula>
    </cfRule>
  </conditionalFormatting>
  <conditionalFormatting sqref="T1:T98">
    <cfRule type="cellIs" dxfId="16" priority="21" operator="equal">
      <formula>"Royal Navy"</formula>
    </cfRule>
  </conditionalFormatting>
  <conditionalFormatting sqref="T1:T98">
    <cfRule type="cellIs" dxfId="17" priority="22" operator="equal">
      <formula>"Sakura Empire"</formula>
    </cfRule>
  </conditionalFormatting>
  <conditionalFormatting sqref="T1:T98">
    <cfRule type="cellIs" dxfId="5" priority="23" operator="equal">
      <formula>"Iron Blood"</formula>
    </cfRule>
  </conditionalFormatting>
  <conditionalFormatting sqref="T1:T98">
    <cfRule type="cellIs" dxfId="18" priority="24" operator="equal">
      <formula>"Dragon Empery"</formula>
    </cfRule>
  </conditionalFormatting>
  <conditionalFormatting sqref="T1:T98">
    <cfRule type="cellIs" dxfId="4" priority="25" operator="equal">
      <formula>"Iris Libre"</formula>
    </cfRule>
  </conditionalFormatting>
  <conditionalFormatting sqref="T1:T98">
    <cfRule type="cellIs" dxfId="9" priority="26" operator="equal">
      <formula>"Vichya Dominion"</formula>
    </cfRule>
  </conditionalFormatting>
  <conditionalFormatting sqref="E2:E98">
    <cfRule type="colorScale" priority="27">
      <colorScale>
        <cfvo type="formula" val="5300"/>
        <cfvo type="percent" val="50"/>
        <cfvo type="formula" val="9000"/>
        <color rgb="FFE67C73"/>
        <color rgb="FFFFD666"/>
        <color rgb="FF57BB8A"/>
      </colorScale>
    </cfRule>
  </conditionalFormatting>
  <conditionalFormatting sqref="F2:F98">
    <cfRule type="colorScale" priority="28">
      <colorScale>
        <cfvo type="formula" val="320"/>
        <cfvo type="percentile" val="50"/>
        <cfvo type="formula" val="450"/>
        <color rgb="FFE67C73"/>
        <color rgb="FFFFD666"/>
        <color rgb="FF57BB8A"/>
      </colorScale>
    </cfRule>
  </conditionalFormatting>
  <conditionalFormatting sqref="I2:I98">
    <cfRule type="colorScale" priority="29">
      <colorScale>
        <cfvo type="min"/>
        <cfvo type="percentile" val="45"/>
        <cfvo type="max"/>
        <color rgb="FFE67C73"/>
        <color rgb="FFFFD666"/>
        <color rgb="FF57BB8A"/>
      </colorScale>
    </cfRule>
  </conditionalFormatting>
  <conditionalFormatting sqref="G2:G98">
    <cfRule type="colorScale" priority="30">
      <colorScale>
        <cfvo type="min"/>
        <cfvo type="percentile" val="50"/>
        <cfvo type="max"/>
        <color rgb="FFE67C73"/>
        <color rgb="FFFFD666"/>
        <color rgb="FF57BB8A"/>
      </colorScale>
    </cfRule>
  </conditionalFormatting>
  <conditionalFormatting sqref="K2:K98">
    <cfRule type="colorScale" priority="31">
      <colorScale>
        <cfvo type="min"/>
        <cfvo type="percentile" val="50"/>
        <cfvo type="formula" val="45"/>
        <color rgb="FFE67C73"/>
        <color rgb="FFFFD666"/>
        <color rgb="FF57BB8A"/>
      </colorScale>
    </cfRule>
  </conditionalFormatting>
  <conditionalFormatting sqref="H2:H98">
    <cfRule type="colorScale" priority="32">
      <colorScale>
        <cfvo type="min"/>
        <cfvo type="percentile" val="50"/>
        <cfvo type="max"/>
        <color rgb="FFE67C73"/>
        <color rgb="FFFFD666"/>
        <color rgb="FF57BB8A"/>
      </colorScale>
    </cfRule>
  </conditionalFormatting>
  <conditionalFormatting sqref="Q2:Q98">
    <cfRule type="colorScale" priority="33">
      <colorScale>
        <cfvo type="min"/>
        <cfvo type="percentile" val="50"/>
        <cfvo type="max"/>
        <color rgb="FF57BB8A"/>
        <color rgb="FFFFD666"/>
        <color rgb="FFE67C73"/>
      </colorScale>
    </cfRule>
  </conditionalFormatting>
  <conditionalFormatting sqref="J2:J98">
    <cfRule type="colorScale" priority="34">
      <colorScale>
        <cfvo type="min"/>
        <cfvo type="percentile" val="50"/>
        <cfvo type="max"/>
        <color rgb="FFE67C73"/>
        <color rgb="FFFFD666"/>
        <color rgb="FF57BB8A"/>
      </colorScale>
    </cfRule>
  </conditionalFormatting>
  <conditionalFormatting sqref="L2:L98">
    <cfRule type="cellIs" dxfId="36" priority="35" operator="equal">
      <formula>"Light"</formula>
    </cfRule>
  </conditionalFormatting>
  <conditionalFormatting sqref="L2:L98">
    <cfRule type="cellIs" dxfId="35" priority="36" operator="equal">
      <formula>"Medium"</formula>
    </cfRule>
  </conditionalFormatting>
  <conditionalFormatting sqref="L2:L98">
    <cfRule type="cellIs" dxfId="19" priority="37" operator="equal">
      <formula>"Heavy"</formula>
    </cfRule>
  </conditionalFormatting>
  <conditionalFormatting sqref="M2:M98">
    <cfRule type="colorScale" priority="38">
      <colorScale>
        <cfvo type="min"/>
        <cfvo type="percentile" val="50"/>
        <cfvo type="max"/>
        <color rgb="FFE67C73"/>
        <color rgb="FFFFD666"/>
        <color rgb="FF57BB8A"/>
      </colorScale>
    </cfRule>
  </conditionalFormatting>
  <conditionalFormatting sqref="N2:N98">
    <cfRule type="colorScale" priority="39">
      <colorScale>
        <cfvo type="min"/>
        <cfvo type="percentile" val="50"/>
        <cfvo type="formula" val="85"/>
        <color rgb="FFE67C73"/>
        <color rgb="FFFFD666"/>
        <color rgb="FF57BB8A"/>
      </colorScale>
    </cfRule>
  </conditionalFormatting>
  <conditionalFormatting sqref="O2:O98">
    <cfRule type="colorScale" priority="40">
      <colorScale>
        <cfvo type="min"/>
        <cfvo type="percentile" val="50"/>
        <cfvo type="max"/>
        <color rgb="FFE67C73"/>
        <color rgb="FFFFD666"/>
        <color rgb="FF57BB8A"/>
      </colorScale>
    </cfRule>
  </conditionalFormatting>
  <conditionalFormatting sqref="P2:P98">
    <cfRule type="colorScale" priority="41">
      <colorScale>
        <cfvo type="min"/>
        <cfvo type="percentile" val="50"/>
        <cfvo type="max"/>
        <color rgb="FFE67C73"/>
        <color rgb="FFFFD666"/>
        <color rgb="FF57BB8A"/>
      </colorScale>
    </cfRule>
  </conditionalFormatting>
  <conditionalFormatting sqref="T1:T98">
    <cfRule type="cellIs" dxfId="28" priority="42" operator="equal">
      <formula>"Ashes"</formula>
    </cfRule>
  </conditionalFormatting>
  <hyperlinks>
    <hyperlink r:id="rId2" ref="C16"/>
    <hyperlink r:id="rId3" ref="C44"/>
    <hyperlink r:id="rId4" ref="C62"/>
    <hyperlink r:id="rId5" ref="C65"/>
    <hyperlink r:id="rId6" ref="C68"/>
    <hyperlink r:id="rId7" ref="C69"/>
    <hyperlink r:id="rId8" ref="C70"/>
    <hyperlink r:id="rId9" ref="C71"/>
    <hyperlink r:id="rId10" ref="C72"/>
    <hyperlink r:id="rId11" ref="C73"/>
    <hyperlink r:id="rId12" ref="C75"/>
    <hyperlink r:id="rId13" ref="C76"/>
    <hyperlink r:id="rId14" ref="C77"/>
    <hyperlink r:id="rId15" ref="C83"/>
    <hyperlink r:id="rId16" ref="C84"/>
    <hyperlink r:id="rId17" ref="C85"/>
    <hyperlink r:id="rId18" ref="C86"/>
    <hyperlink r:id="rId19" ref="C87"/>
    <hyperlink r:id="rId20" ref="C88"/>
    <hyperlink r:id="rId21" ref="C89"/>
  </hyperlinks>
  <drawing r:id="rId22"/>
  <legacyDrawing r:id="rId23"/>
  <tableParts count="1">
    <tablePart r:id="rId25"/>
  </tableParts>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8E7CC3"/>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29"/>
    <col customWidth="1" min="2" max="2" width="5.14"/>
    <col customWidth="1" min="3" max="3" width="19.29"/>
    <col customWidth="1" min="4" max="4" width="10.57"/>
    <col customWidth="1" min="5" max="6" width="5.86"/>
    <col customWidth="1" hidden="1" min="7" max="7" width="5.86"/>
    <col customWidth="1" min="8" max="11" width="5.86"/>
    <col customWidth="1" min="12" max="12" width="7.29"/>
    <col customWidth="1" min="13" max="17" width="5.86"/>
    <col customWidth="1" hidden="1" min="18" max="19" width="5.86"/>
    <col customWidth="1" min="20" max="20" width="15.43"/>
    <col customWidth="1" min="21" max="21" width="5.86"/>
    <col customWidth="1" min="22" max="22" width="25.14"/>
    <col customWidth="1" min="23" max="23" width="24.86"/>
    <col customWidth="1" min="24" max="24" width="25.14"/>
    <col customWidth="1" min="25" max="25" width="29.0"/>
    <col customWidth="1" min="26" max="28" width="14.43"/>
    <col customWidth="1" min="29" max="29" width="11.43"/>
    <col customWidth="1" min="30" max="32" width="14.43"/>
  </cols>
  <sheetData>
    <row r="1">
      <c r="A1" s="135" t="s">
        <v>3</v>
      </c>
      <c r="B1" s="136" t="s">
        <v>4</v>
      </c>
      <c r="C1" s="136" t="s">
        <v>5</v>
      </c>
      <c r="D1" s="136" t="s">
        <v>6</v>
      </c>
      <c r="E1" s="137" t="s">
        <v>7</v>
      </c>
      <c r="F1" s="137" t="s">
        <v>8</v>
      </c>
      <c r="G1" s="137" t="s">
        <v>9</v>
      </c>
      <c r="H1" s="137" t="s">
        <v>10</v>
      </c>
      <c r="I1" s="137" t="s">
        <v>11</v>
      </c>
      <c r="J1" s="137" t="s">
        <v>12</v>
      </c>
      <c r="K1" s="137" t="s">
        <v>13</v>
      </c>
      <c r="L1" s="137" t="s">
        <v>14</v>
      </c>
      <c r="M1" s="137" t="s">
        <v>15</v>
      </c>
      <c r="N1" s="138" t="s">
        <v>16</v>
      </c>
      <c r="O1" s="138" t="s">
        <v>17</v>
      </c>
      <c r="P1" s="137" t="s">
        <v>18</v>
      </c>
      <c r="Q1" s="137" t="s">
        <v>19</v>
      </c>
      <c r="R1" s="137" t="s">
        <v>20</v>
      </c>
      <c r="S1" s="137" t="s">
        <v>21</v>
      </c>
      <c r="T1" s="139" t="s">
        <v>22</v>
      </c>
      <c r="U1" s="300" t="s">
        <v>1505</v>
      </c>
      <c r="V1" s="140" t="s">
        <v>541</v>
      </c>
      <c r="W1" s="140" t="s">
        <v>542</v>
      </c>
      <c r="X1" s="140" t="s">
        <v>1328</v>
      </c>
      <c r="Y1" s="140" t="s">
        <v>543</v>
      </c>
      <c r="Z1" s="139" t="s">
        <v>546</v>
      </c>
      <c r="AA1" s="139" t="s">
        <v>547</v>
      </c>
      <c r="AB1" s="139" t="s">
        <v>548</v>
      </c>
      <c r="AC1" s="139" t="s">
        <v>549</v>
      </c>
      <c r="AD1" s="139" t="s">
        <v>1506</v>
      </c>
      <c r="AE1" s="301" t="s">
        <v>1507</v>
      </c>
      <c r="AF1" s="301" t="s">
        <v>1508</v>
      </c>
    </row>
    <row r="2" ht="15.75" customHeight="1">
      <c r="A2" s="141">
        <v>70.0</v>
      </c>
      <c r="B2" s="142" t="s">
        <v>91</v>
      </c>
      <c r="C2" s="143" t="str">
        <f>HYPERLINK("https://azurlane.koumakan.jp/Long_Island","Long Island")</f>
        <v>Long Island</v>
      </c>
      <c r="D2" s="142" t="s">
        <v>36</v>
      </c>
      <c r="E2" s="145">
        <v>4802.0</v>
      </c>
      <c r="F2" s="145">
        <v>0.0</v>
      </c>
      <c r="G2" s="145">
        <v>0.0</v>
      </c>
      <c r="H2" s="145">
        <v>284.0</v>
      </c>
      <c r="I2" s="145">
        <v>263.0</v>
      </c>
      <c r="J2" s="145">
        <v>185.0</v>
      </c>
      <c r="K2" s="145">
        <v>68.0</v>
      </c>
      <c r="L2" s="145" t="s">
        <v>71</v>
      </c>
      <c r="M2" s="145">
        <v>16.0</v>
      </c>
      <c r="N2" s="145">
        <v>88.0</v>
      </c>
      <c r="O2" s="145">
        <v>68.0</v>
      </c>
      <c r="P2" s="145">
        <v>102.0</v>
      </c>
      <c r="Q2" s="145">
        <v>10.0</v>
      </c>
      <c r="R2" s="145">
        <v>0.0</v>
      </c>
      <c r="S2" s="145">
        <v>0.0</v>
      </c>
      <c r="T2" s="147" t="s">
        <v>37</v>
      </c>
      <c r="U2" s="302">
        <f>IFERROR(__xludf.DUMMYFUNCTION("((H2+200+REGEXMATCH(Z2,""ers"")*45+REGEXMATCH(AA2,""ers"")*45+REGEXMATCH(AB2,""ers"")*45)/100)*2* (if(ISERROR(value(left(Z2))), 0, REGEXMATCH(Z2,""Fighters"")*value(left(Z2))*10+REGEXMATCH(Z2,""Divebombers"")*value(left(Z2))*6+REGEXMATCH(Z2,""Torpbombers"&amp;""")*value(left(Z2))*5+REGEXMATCH(Z2,""Seaplanes"")*value(left(Z2))*4)+ if(ISERROR(value(left(AA2))), 0, REGEXMATCH(AA2,""Fighters"")*value(left(AA2))*10+REGEXMATCH(AA2,""Divebombers"")*value(left(AA2))*6+REGEXMATCH(AA2,""Torpbombers"")*value(left(AA2))*5+"&amp;"REGEXMATCH(AA2,""Seaplanes"")*value(left(AA2))*4)+ if(ISERROR(value(left(AB2))), 0, REGEXMATCH(AB2,""Fighters"")*value(left(AB2))*10+REGEXMATCH(AB2,""Divebombers"")*value(left(AB2))*6+REGEXMATCH(AB2,""Torpbombers"")*value(left(AB2))*5+REGEXMATCH(AB2,""Sea"&amp;"planes"")*value(left(AB2))*4))"),551.04)</f>
        <v>551.04</v>
      </c>
      <c r="V2" s="164" t="s">
        <v>1509</v>
      </c>
      <c r="W2" s="149" t="s">
        <v>551</v>
      </c>
      <c r="X2" s="149" t="s">
        <v>551</v>
      </c>
      <c r="Y2" s="149" t="s">
        <v>551</v>
      </c>
      <c r="Z2" s="147" t="s">
        <v>1510</v>
      </c>
      <c r="AA2" s="147" t="s">
        <v>1511</v>
      </c>
      <c r="AB2" s="147" t="s">
        <v>11</v>
      </c>
      <c r="AC2" s="147" t="s">
        <v>1512</v>
      </c>
      <c r="AD2" s="147" t="s">
        <v>1513</v>
      </c>
      <c r="AE2" s="147" t="s">
        <v>1513</v>
      </c>
      <c r="AF2" s="147">
        <v>0.0</v>
      </c>
    </row>
    <row r="3" ht="15.75" customHeight="1">
      <c r="A3" s="141">
        <v>70.1</v>
      </c>
      <c r="B3" s="142" t="s">
        <v>91</v>
      </c>
      <c r="C3" s="143" t="str">
        <f>HYPERLINK("https://azurlane.koumakan.jp/Long_Island#Remodel(JP)","Long Island (R)")</f>
        <v>Long Island (R)</v>
      </c>
      <c r="D3" s="142" t="s">
        <v>28</v>
      </c>
      <c r="E3" s="158">
        <v>5012.0</v>
      </c>
      <c r="F3" s="145">
        <v>0.0</v>
      </c>
      <c r="G3" s="145">
        <v>0.0</v>
      </c>
      <c r="H3" s="145">
        <v>344.0</v>
      </c>
      <c r="I3" s="145">
        <v>298.0</v>
      </c>
      <c r="J3" s="145">
        <v>190.0</v>
      </c>
      <c r="K3" s="145">
        <v>68.0</v>
      </c>
      <c r="L3" s="145" t="s">
        <v>71</v>
      </c>
      <c r="M3" s="145">
        <v>16.0</v>
      </c>
      <c r="N3" s="145">
        <v>88.0</v>
      </c>
      <c r="O3" s="169">
        <v>68.0</v>
      </c>
      <c r="P3" s="145">
        <v>102.0</v>
      </c>
      <c r="Q3" s="145">
        <v>10.0</v>
      </c>
      <c r="R3" s="145">
        <v>0.0</v>
      </c>
      <c r="S3" s="145">
        <v>0.0</v>
      </c>
      <c r="T3" s="147" t="s">
        <v>37</v>
      </c>
      <c r="U3" s="303">
        <f>IFERROR(__xludf.DUMMYFUNCTION("((H3+200+REGEXMATCH(Z3,""ers"")*45+REGEXMATCH(AA3,""ers"")*45+REGEXMATCH(AB3,""ers"")*45)/100)*2* (if(ISERROR(value(left(Z3))), 0, REGEXMATCH(Z3,""Fighters"")*value(left(Z3))*10+REGEXMATCH(Z3,""Divebombers"")*value(left(Z3))*6+REGEXMATCH(Z3,""Torpbombers"&amp;""")*value(left(Z3))*5+REGEXMATCH(Z3,""Seaplanes"")*value(left(Z3))*4)+ if(ISERROR(value(left(AA3))), 0, REGEXMATCH(AA3,""Fighters"")*value(left(AA3))*10+REGEXMATCH(AA3,""Divebombers"")*value(left(AA3))*6+REGEXMATCH(AA3,""Torpbombers"")*value(left(AA3))*5+"&amp;"REGEXMATCH(AA3,""Seaplanes"")*value(left(AA3))*4)+ if(ISERROR(value(left(AB3))), 0, REGEXMATCH(AB3,""Fighters"")*value(left(AB3))*10+REGEXMATCH(AB3,""Divebombers"")*value(left(AB3))*6+REGEXMATCH(AB3,""Torpbombers"")*value(left(AB3))*5+REGEXMATCH(AB3,""Sea"&amp;"planes"")*value(left(AB3))*4))"),608.64)</f>
        <v>608.64</v>
      </c>
      <c r="V3" s="164" t="s">
        <v>1509</v>
      </c>
      <c r="W3" s="149" t="s">
        <v>551</v>
      </c>
      <c r="X3" s="149" t="s">
        <v>551</v>
      </c>
      <c r="Y3" s="148" t="s">
        <v>1514</v>
      </c>
      <c r="Z3" s="147" t="s">
        <v>1510</v>
      </c>
      <c r="AA3" s="147" t="s">
        <v>1511</v>
      </c>
      <c r="AB3" s="147" t="s">
        <v>11</v>
      </c>
      <c r="AC3" s="147" t="s">
        <v>1515</v>
      </c>
      <c r="AD3" s="147" t="s">
        <v>1516</v>
      </c>
      <c r="AE3" s="147" t="s">
        <v>1513</v>
      </c>
      <c r="AF3" s="147">
        <v>0.0</v>
      </c>
    </row>
    <row r="4" ht="15.75" customHeight="1">
      <c r="A4" s="141">
        <v>71.0</v>
      </c>
      <c r="B4" s="142" t="s">
        <v>91</v>
      </c>
      <c r="C4" s="143" t="str">
        <f>HYPERLINK("https://azurlane.koumakan.jp/Bogue","Bogue")</f>
        <v>Bogue</v>
      </c>
      <c r="D4" s="142" t="s">
        <v>40</v>
      </c>
      <c r="E4" s="165">
        <v>4048.0</v>
      </c>
      <c r="F4" s="145">
        <v>0.0</v>
      </c>
      <c r="G4" s="145">
        <v>0.0</v>
      </c>
      <c r="H4" s="145">
        <v>282.0</v>
      </c>
      <c r="I4" s="145">
        <v>257.0</v>
      </c>
      <c r="J4" s="145">
        <v>181.0</v>
      </c>
      <c r="K4" s="145">
        <v>69.0</v>
      </c>
      <c r="L4" s="145" t="s">
        <v>71</v>
      </c>
      <c r="M4" s="145">
        <v>18.0</v>
      </c>
      <c r="N4" s="145">
        <v>88.0</v>
      </c>
      <c r="O4" s="166">
        <v>78.0</v>
      </c>
      <c r="P4" s="168">
        <v>150.0</v>
      </c>
      <c r="Q4" s="145">
        <v>9.0</v>
      </c>
      <c r="R4" s="145">
        <v>0.0</v>
      </c>
      <c r="S4" s="145">
        <v>0.0</v>
      </c>
      <c r="T4" s="147" t="s">
        <v>37</v>
      </c>
      <c r="U4" s="302">
        <f>IFERROR(__xludf.DUMMYFUNCTION("((H4+200+REGEXMATCH(Z4,""ers"")*45+REGEXMATCH(AA4,""ers"")*45+REGEXMATCH(AB4,""ers"")*45)/100)*2* (if(ISERROR(value(left(Z4))), 0, REGEXMATCH(Z4,""Fighters"")*value(left(Z4))*10+REGEXMATCH(Z4,""Divebombers"")*value(left(Z4))*6+REGEXMATCH(Z4,""Torpbombers"&amp;""")*value(left(Z4))*5+REGEXMATCH(Z4,""Seaplanes"")*value(left(Z4))*4)+ if(ISERROR(value(left(AA4))), 0, REGEXMATCH(AA4,""Fighters"")*value(left(AA4))*10+REGEXMATCH(AA4,""Divebombers"")*value(left(AA4))*6+REGEXMATCH(AA4,""Torpbombers"")*value(left(AA4))*5+"&amp;"REGEXMATCH(AA4,""Seaplanes"")*value(left(AA4))*4)+ if(ISERROR(value(left(AB4))), 0, REGEXMATCH(AB4,""Fighters"")*value(left(AB4))*10+REGEXMATCH(AB4,""Divebombers"")*value(left(AB4))*6+REGEXMATCH(AB4,""Torpbombers"")*value(left(AB4))*5+REGEXMATCH(AB4,""Sea"&amp;"planes"")*value(left(AB4))*4))"),549.12)</f>
        <v>549.12</v>
      </c>
      <c r="V4" s="164" t="s">
        <v>1509</v>
      </c>
      <c r="W4" s="149" t="s">
        <v>551</v>
      </c>
      <c r="X4" s="149" t="s">
        <v>551</v>
      </c>
      <c r="Y4" s="149" t="s">
        <v>551</v>
      </c>
      <c r="Z4" s="147" t="s">
        <v>1510</v>
      </c>
      <c r="AA4" s="147" t="s">
        <v>1511</v>
      </c>
      <c r="AB4" s="147" t="s">
        <v>11</v>
      </c>
      <c r="AC4" s="147" t="s">
        <v>1512</v>
      </c>
      <c r="AD4" s="147" t="s">
        <v>1513</v>
      </c>
      <c r="AE4" s="147" t="s">
        <v>1513</v>
      </c>
      <c r="AF4" s="147">
        <v>0.0</v>
      </c>
    </row>
    <row r="5" ht="15.75" customHeight="1">
      <c r="A5" s="141">
        <v>71.1</v>
      </c>
      <c r="B5" s="142" t="s">
        <v>91</v>
      </c>
      <c r="C5" s="143" t="str">
        <f>HYPERLINK("https://azurlane.koumakan.jp/Bogue#Retrofit","Bogue (R)")</f>
        <v>Bogue (R)</v>
      </c>
      <c r="D5" s="142" t="s">
        <v>36</v>
      </c>
      <c r="E5" s="144">
        <v>4258.0</v>
      </c>
      <c r="F5" s="145">
        <v>0.0</v>
      </c>
      <c r="G5" s="145">
        <v>0.0</v>
      </c>
      <c r="H5" s="145">
        <v>342.0</v>
      </c>
      <c r="I5" s="145">
        <v>292.0</v>
      </c>
      <c r="J5" s="145">
        <v>186.0</v>
      </c>
      <c r="K5" s="145">
        <v>69.0</v>
      </c>
      <c r="L5" s="145" t="s">
        <v>71</v>
      </c>
      <c r="M5" s="145">
        <v>18.0</v>
      </c>
      <c r="N5" s="145">
        <v>88.0</v>
      </c>
      <c r="O5" s="146">
        <v>78.0</v>
      </c>
      <c r="P5" s="168">
        <v>150.0</v>
      </c>
      <c r="Q5" s="145">
        <v>9.0</v>
      </c>
      <c r="R5" s="145">
        <v>0.0</v>
      </c>
      <c r="S5" s="145">
        <v>0.0</v>
      </c>
      <c r="T5" s="147" t="s">
        <v>37</v>
      </c>
      <c r="U5" s="303">
        <f>IFERROR(__xludf.DUMMYFUNCTION("((H5+200+REGEXMATCH(Z5,""ers"")*45+REGEXMATCH(AA5,""ers"")*45+REGEXMATCH(AB5,""ers"")*45)/100)*2* (if(ISERROR(value(left(Z5))), 0, REGEXMATCH(Z5,""Fighters"")*value(left(Z5))*10+REGEXMATCH(Z5,""Divebombers"")*value(left(Z5))*6+REGEXMATCH(Z5,""Torpbombers"&amp;""")*value(left(Z5))*5+REGEXMATCH(Z5,""Seaplanes"")*value(left(Z5))*4)+ if(ISERROR(value(left(AA5))), 0, REGEXMATCH(AA5,""Fighters"")*value(left(AA5))*10+REGEXMATCH(AA5,""Divebombers"")*value(left(AA5))*6+REGEXMATCH(AA5,""Torpbombers"")*value(left(AA5))*5+"&amp;"REGEXMATCH(AA5,""Seaplanes"")*value(left(AA5))*4)+ if(ISERROR(value(left(AB5))), 0, REGEXMATCH(AB5,""Fighters"")*value(left(AB5))*10+REGEXMATCH(AB5,""Divebombers"")*value(left(AB5))*6+REGEXMATCH(AB5,""Torpbombers"")*value(left(AB5))*5+REGEXMATCH(AB5,""Sea"&amp;"planes"")*value(left(AB5))*4))"),606.72)</f>
        <v>606.72</v>
      </c>
      <c r="V5" s="164" t="s">
        <v>1509</v>
      </c>
      <c r="W5" s="149" t="s">
        <v>551</v>
      </c>
      <c r="X5" s="149" t="s">
        <v>551</v>
      </c>
      <c r="Y5" s="148" t="s">
        <v>1517</v>
      </c>
      <c r="Z5" s="147" t="s">
        <v>1510</v>
      </c>
      <c r="AA5" s="147" t="s">
        <v>1511</v>
      </c>
      <c r="AB5" s="147" t="s">
        <v>11</v>
      </c>
      <c r="AC5" s="147" t="s">
        <v>1518</v>
      </c>
      <c r="AD5" s="147" t="s">
        <v>1513</v>
      </c>
      <c r="AE5" s="147" t="s">
        <v>1516</v>
      </c>
      <c r="AF5" s="147">
        <v>0.0</v>
      </c>
    </row>
    <row r="6" ht="15.75" customHeight="1">
      <c r="A6" s="141">
        <v>72.0</v>
      </c>
      <c r="B6" s="142" t="s">
        <v>91</v>
      </c>
      <c r="C6" s="143" t="str">
        <f>HYPERLINK("https://azurlane.koumakan.jp/Langley","Langley")</f>
        <v>Langley</v>
      </c>
      <c r="D6" s="149" t="s">
        <v>40</v>
      </c>
      <c r="E6" s="165">
        <v>4566.0</v>
      </c>
      <c r="F6" s="145">
        <v>0.0</v>
      </c>
      <c r="G6" s="145">
        <v>0.0</v>
      </c>
      <c r="H6" s="145">
        <v>207.0</v>
      </c>
      <c r="I6" s="145">
        <v>251.0</v>
      </c>
      <c r="J6" s="145">
        <v>125.0</v>
      </c>
      <c r="K6" s="145">
        <v>83.0</v>
      </c>
      <c r="L6" s="145" t="s">
        <v>71</v>
      </c>
      <c r="M6" s="145">
        <v>15.0</v>
      </c>
      <c r="N6" s="145">
        <v>83.0</v>
      </c>
      <c r="O6" s="166">
        <v>32.0</v>
      </c>
      <c r="P6" s="145">
        <v>97.0</v>
      </c>
      <c r="Q6" s="145">
        <v>9.0</v>
      </c>
      <c r="R6" s="145">
        <v>0.0</v>
      </c>
      <c r="S6" s="145">
        <v>0.0</v>
      </c>
      <c r="T6" s="147" t="s">
        <v>37</v>
      </c>
      <c r="U6" s="304">
        <f>IFERROR(__xludf.DUMMYFUNCTION("((H6+200+REGEXMATCH(Z6,""ers"")*45+REGEXMATCH(AA6,""ers"")*45+REGEXMATCH(AB6,""ers"")*45)/100)*2* (if(ISERROR(value(left(Z6))), 0, REGEXMATCH(Z6,""Fighters"")*value(left(Z6))*10+REGEXMATCH(Z6,""Divebombers"")*value(left(Z6))*6+REGEXMATCH(Z6,""Torpbombers"&amp;""")*value(left(Z6))*5+REGEXMATCH(Z6,""Seaplanes"")*value(left(Z6))*4)+ if(ISERROR(value(left(AA6))), 0, REGEXMATCH(AA6,""Fighters"")*value(left(AA6))*10+REGEXMATCH(AA6,""Divebombers"")*value(left(AA6))*6+REGEXMATCH(AA6,""Torpbombers"")*value(left(AA6))*5+"&amp;"REGEXMATCH(AA6,""Seaplanes"")*value(left(AA6))*4)+ if(ISERROR(value(left(AB6))), 0, REGEXMATCH(AB6,""Fighters"")*value(left(AB6))*10+REGEXMATCH(AB6,""Divebombers"")*value(left(AB6))*6+REGEXMATCH(AB6,""Torpbombers"")*value(left(AB6))*5+REGEXMATCH(AB6,""Sea"&amp;"planes"")*value(left(AB6))*4))"),780.48)</f>
        <v>780.48</v>
      </c>
      <c r="V6" s="148" t="s">
        <v>1519</v>
      </c>
      <c r="W6" s="149" t="s">
        <v>551</v>
      </c>
      <c r="X6" s="149" t="s">
        <v>551</v>
      </c>
      <c r="Y6" s="149" t="s">
        <v>551</v>
      </c>
      <c r="Z6" s="147" t="s">
        <v>1510</v>
      </c>
      <c r="AA6" s="147" t="s">
        <v>1510</v>
      </c>
      <c r="AB6" s="147" t="s">
        <v>1520</v>
      </c>
      <c r="AC6" s="147" t="s">
        <v>1512</v>
      </c>
      <c r="AD6" s="147" t="s">
        <v>1521</v>
      </c>
      <c r="AE6" s="147" t="s">
        <v>1522</v>
      </c>
      <c r="AF6" s="147">
        <v>0.0</v>
      </c>
    </row>
    <row r="7" ht="15.75" customHeight="1">
      <c r="A7" s="141">
        <v>72.1</v>
      </c>
      <c r="B7" s="142" t="s">
        <v>91</v>
      </c>
      <c r="C7" s="143" t="str">
        <f>HYPERLINK("https://azurlane.koumakan.jp/Langley#Retrofit","Langley (R)")</f>
        <v>Langley (R)</v>
      </c>
      <c r="D7" s="142" t="s">
        <v>36</v>
      </c>
      <c r="E7" s="144">
        <v>4806.0</v>
      </c>
      <c r="F7" s="145">
        <v>0.0</v>
      </c>
      <c r="G7" s="145">
        <v>0.0</v>
      </c>
      <c r="H7" s="145">
        <v>267.0</v>
      </c>
      <c r="I7" s="145">
        <v>286.0</v>
      </c>
      <c r="J7" s="145">
        <v>130.0</v>
      </c>
      <c r="K7" s="145">
        <v>83.0</v>
      </c>
      <c r="L7" s="145" t="s">
        <v>71</v>
      </c>
      <c r="M7" s="145">
        <v>15.0</v>
      </c>
      <c r="N7" s="145">
        <v>83.0</v>
      </c>
      <c r="O7" s="146">
        <v>32.0</v>
      </c>
      <c r="P7" s="145">
        <v>97.0</v>
      </c>
      <c r="Q7" s="145">
        <v>9.0</v>
      </c>
      <c r="R7" s="145">
        <v>0.0</v>
      </c>
      <c r="S7" s="145">
        <v>0.0</v>
      </c>
      <c r="T7" s="147" t="s">
        <v>37</v>
      </c>
      <c r="U7" s="305">
        <f>IFERROR(__xludf.DUMMYFUNCTION("((H7+200+REGEXMATCH(Z7,""ers"")*45+REGEXMATCH(AA7,""ers"")*45+REGEXMATCH(AB7,""ers"")*45)/100)*2* (if(ISERROR(value(left(Z7))), 0, REGEXMATCH(Z7,""Fighters"")*value(left(Z7))*10+REGEXMATCH(Z7,""Divebombers"")*value(left(Z7))*6+REGEXMATCH(Z7,""Torpbombers"&amp;""")*value(left(Z7))*5+REGEXMATCH(Z7,""Seaplanes"")*value(left(Z7))*4)+ if(ISERROR(value(left(AA7))), 0, REGEXMATCH(AA7,""Fighters"")*value(left(AA7))*10+REGEXMATCH(AA7,""Divebombers"")*value(left(AA7))*6+REGEXMATCH(AA7,""Torpbombers"")*value(left(AA7))*5+"&amp;"REGEXMATCH(AA7,""Seaplanes"")*value(left(AA7))*4)+ if(ISERROR(value(left(AB7))), 0, REGEXMATCH(AB7,""Fighters"")*value(left(AB7))*10+REGEXMATCH(AB7,""Divebombers"")*value(left(AB7))*6+REGEXMATCH(AB7,""Torpbombers"")*value(left(AB7))*5+REGEXMATCH(AB7,""Sea"&amp;"planes"")*value(left(AB7))*4))"),939.1199999999999)</f>
        <v>939.12</v>
      </c>
      <c r="V7" s="148" t="s">
        <v>1519</v>
      </c>
      <c r="W7" s="149" t="s">
        <v>551</v>
      </c>
      <c r="X7" s="149" t="s">
        <v>551</v>
      </c>
      <c r="Y7" s="148" t="s">
        <v>1523</v>
      </c>
      <c r="Z7" s="147" t="s">
        <v>1510</v>
      </c>
      <c r="AA7" s="147" t="s">
        <v>1510</v>
      </c>
      <c r="AB7" s="147" t="s">
        <v>1511</v>
      </c>
      <c r="AC7" s="147" t="s">
        <v>1524</v>
      </c>
      <c r="AD7" s="147" t="s">
        <v>1525</v>
      </c>
      <c r="AE7" s="147" t="s">
        <v>1526</v>
      </c>
      <c r="AF7" s="147">
        <v>0.0</v>
      </c>
    </row>
    <row r="8" ht="15.75" customHeight="1">
      <c r="A8" s="141">
        <v>73.0</v>
      </c>
      <c r="B8" s="142" t="s">
        <v>95</v>
      </c>
      <c r="C8" s="143" t="str">
        <f>HYPERLINK("https://azurlane.koumakan.jp/Lexington","Lexington")</f>
        <v>Lexington</v>
      </c>
      <c r="D8" s="142" t="s">
        <v>28</v>
      </c>
      <c r="E8" s="165">
        <v>7072.0</v>
      </c>
      <c r="F8" s="145">
        <v>0.0</v>
      </c>
      <c r="G8" s="145">
        <v>0.0</v>
      </c>
      <c r="H8" s="145">
        <v>402.0</v>
      </c>
      <c r="I8" s="145">
        <v>310.0</v>
      </c>
      <c r="J8" s="145">
        <v>112.0</v>
      </c>
      <c r="K8" s="145">
        <v>58.0</v>
      </c>
      <c r="L8" s="145" t="s">
        <v>71</v>
      </c>
      <c r="M8" s="145">
        <v>33.0</v>
      </c>
      <c r="N8" s="145">
        <v>95.0</v>
      </c>
      <c r="O8" s="166">
        <v>35.0</v>
      </c>
      <c r="P8" s="145">
        <v>0.0</v>
      </c>
      <c r="Q8" s="145">
        <v>12.0</v>
      </c>
      <c r="R8" s="145">
        <v>0.0</v>
      </c>
      <c r="S8" s="145">
        <v>0.0</v>
      </c>
      <c r="T8" s="147" t="s">
        <v>37</v>
      </c>
      <c r="U8" s="306">
        <f>IFERROR(__xludf.DUMMYFUNCTION("((H8+200+REGEXMATCH(Z8,""ers"")*45+REGEXMATCH(AA8,""ers"")*45+REGEXMATCH(AB8,""ers"")*45)/100)*2* (if(ISERROR(value(left(Z8))), 0, REGEXMATCH(Z8,""Fighters"")*value(left(Z8))*10+REGEXMATCH(Z8,""Divebombers"")*value(left(Z8))*6+REGEXMATCH(Z8,""Torpbombers"&amp;""")*value(left(Z8))*5+REGEXMATCH(Z8,""Seaplanes"")*value(left(Z8))*4)+ if(ISERROR(value(left(AA8))), 0, REGEXMATCH(AA8,""Fighters"")*value(left(AA8))*10+REGEXMATCH(AA8,""Divebombers"")*value(left(AA8))*6+REGEXMATCH(AA8,""Torpbombers"")*value(left(AA8))*5+"&amp;"REGEXMATCH(AA8,""Seaplanes"")*value(left(AA8))*4)+ if(ISERROR(value(left(AB8))), 0, REGEXMATCH(AB8,""Fighters"")*value(left(AB8))*10+REGEXMATCH(AB8,""Divebombers"")*value(left(AB8))*6+REGEXMATCH(AB8,""Torpbombers"")*value(left(AB8))*5+REGEXMATCH(AB8,""Sea"&amp;"planes"")*value(left(AB8))*4))"),825.44)</f>
        <v>825.44</v>
      </c>
      <c r="V8" s="164" t="s">
        <v>1527</v>
      </c>
      <c r="W8" s="148" t="s">
        <v>1528</v>
      </c>
      <c r="X8" s="149" t="s">
        <v>551</v>
      </c>
      <c r="Y8" s="149" t="s">
        <v>551</v>
      </c>
      <c r="Z8" s="147" t="s">
        <v>1529</v>
      </c>
      <c r="AA8" s="147" t="s">
        <v>1511</v>
      </c>
      <c r="AB8" s="147" t="s">
        <v>1511</v>
      </c>
      <c r="AC8" s="147" t="s">
        <v>558</v>
      </c>
      <c r="AD8" s="147" t="s">
        <v>1530</v>
      </c>
      <c r="AE8" s="147" t="s">
        <v>1521</v>
      </c>
      <c r="AF8" s="147">
        <v>0.0</v>
      </c>
    </row>
    <row r="9" ht="15.75" customHeight="1">
      <c r="A9" s="141">
        <v>74.0</v>
      </c>
      <c r="B9" s="142" t="s">
        <v>95</v>
      </c>
      <c r="C9" s="143" t="str">
        <f>HYPERLINK("https://azurlane.koumakan.jp/Saratoga","Saratoga")</f>
        <v>Saratoga</v>
      </c>
      <c r="D9" s="142" t="s">
        <v>28</v>
      </c>
      <c r="E9" s="165">
        <v>7072.0</v>
      </c>
      <c r="F9" s="145">
        <v>0.0</v>
      </c>
      <c r="G9" s="145">
        <v>0.0</v>
      </c>
      <c r="H9" s="145">
        <v>402.0</v>
      </c>
      <c r="I9" s="145">
        <v>310.0</v>
      </c>
      <c r="J9" s="145">
        <v>112.0</v>
      </c>
      <c r="K9" s="145">
        <v>58.0</v>
      </c>
      <c r="L9" s="145" t="s">
        <v>71</v>
      </c>
      <c r="M9" s="145">
        <v>33.0</v>
      </c>
      <c r="N9" s="145">
        <v>95.0</v>
      </c>
      <c r="O9" s="166">
        <v>66.0</v>
      </c>
      <c r="P9" s="145">
        <v>0.0</v>
      </c>
      <c r="Q9" s="145">
        <v>12.0</v>
      </c>
      <c r="R9" s="145">
        <v>0.0</v>
      </c>
      <c r="S9" s="145">
        <v>0.0</v>
      </c>
      <c r="T9" s="147" t="s">
        <v>37</v>
      </c>
      <c r="U9" s="306">
        <f>IFERROR(__xludf.DUMMYFUNCTION("((H9+200+REGEXMATCH(Z9,""ers"")*45+REGEXMATCH(AA9,""ers"")*45+REGEXMATCH(AB9,""ers"")*45)/100)*2* (if(ISERROR(value(left(Z9))), 0, REGEXMATCH(Z9,""Fighters"")*value(left(Z9))*10+REGEXMATCH(Z9,""Divebombers"")*value(left(Z9))*6+REGEXMATCH(Z9,""Torpbombers"&amp;""")*value(left(Z9))*5+REGEXMATCH(Z9,""Seaplanes"")*value(left(Z9))*4)+ if(ISERROR(value(left(AA9))), 0, REGEXMATCH(AA9,""Fighters"")*value(left(AA9))*10+REGEXMATCH(AA9,""Divebombers"")*value(left(AA9))*6+REGEXMATCH(AA9,""Torpbombers"")*value(left(AA9))*5+"&amp;"REGEXMATCH(AA9,""Seaplanes"")*value(left(AA9))*4)+ if(ISERROR(value(left(AB9))), 0, REGEXMATCH(AB9,""Fighters"")*value(left(AB9))*10+REGEXMATCH(AB9,""Divebombers"")*value(left(AB9))*6+REGEXMATCH(AB9,""Torpbombers"")*value(left(AB9))*5+REGEXMATCH(AB9,""Sea"&amp;"planes"")*value(left(AB9))*4))"),825.44)</f>
        <v>825.44</v>
      </c>
      <c r="V9" s="164" t="s">
        <v>1527</v>
      </c>
      <c r="W9" s="148" t="s">
        <v>1528</v>
      </c>
      <c r="X9" s="149" t="s">
        <v>551</v>
      </c>
      <c r="Y9" s="149" t="s">
        <v>551</v>
      </c>
      <c r="Z9" s="147" t="s">
        <v>1529</v>
      </c>
      <c r="AA9" s="147" t="s">
        <v>1511</v>
      </c>
      <c r="AB9" s="147" t="s">
        <v>1511</v>
      </c>
      <c r="AC9" s="147" t="s">
        <v>558</v>
      </c>
      <c r="AD9" s="147" t="s">
        <v>1530</v>
      </c>
      <c r="AE9" s="147" t="s">
        <v>1521</v>
      </c>
      <c r="AF9" s="147">
        <v>0.0</v>
      </c>
    </row>
    <row r="10" ht="15.75" customHeight="1">
      <c r="A10" s="141">
        <v>74.1</v>
      </c>
      <c r="B10" s="142" t="s">
        <v>95</v>
      </c>
      <c r="C10" s="143" t="str">
        <f>HYPERLINK("https://azurlane.koumakan.jp/Saratoga#Retrofit","Saratoga (R)")</f>
        <v>Saratoga (R)</v>
      </c>
      <c r="D10" s="142" t="s">
        <v>32</v>
      </c>
      <c r="E10" s="144">
        <v>7282.0</v>
      </c>
      <c r="F10" s="145">
        <v>0.0</v>
      </c>
      <c r="G10" s="145">
        <v>0.0</v>
      </c>
      <c r="H10" s="145">
        <v>447.0</v>
      </c>
      <c r="I10" s="145">
        <v>360.0</v>
      </c>
      <c r="J10" s="145">
        <v>132.0</v>
      </c>
      <c r="K10" s="145">
        <v>58.0</v>
      </c>
      <c r="L10" s="145" t="s">
        <v>71</v>
      </c>
      <c r="M10" s="145">
        <v>33.0</v>
      </c>
      <c r="N10" s="145">
        <v>95.0</v>
      </c>
      <c r="O10" s="146">
        <v>66.0</v>
      </c>
      <c r="P10" s="145">
        <v>0.0</v>
      </c>
      <c r="Q10" s="145">
        <v>12.0</v>
      </c>
      <c r="R10" s="145">
        <v>0.0</v>
      </c>
      <c r="S10" s="145">
        <v>0.0</v>
      </c>
      <c r="T10" s="147" t="s">
        <v>37</v>
      </c>
      <c r="U10" s="307">
        <f>IFERROR(__xludf.DUMMYFUNCTION("((H10+200+REGEXMATCH(Z10,""ers"")*45+REGEXMATCH(AA10,""ers"")*45+REGEXMATCH(AB10,""ers"")*45)/100)*2* (if(ISERROR(value(left(Z10))), 0, REGEXMATCH(Z10,""Fighters"")*value(left(Z10))*10+REGEXMATCH(Z10,""Divebombers"")*value(left(Z10))*6+REGEXMATCH(Z10,""To"&amp;"rpbombers"")*value(left(Z10))*5+REGEXMATCH(Z10,""Seaplanes"")*value(left(Z10))*4)+ if(ISERROR(value(left(AA10))), 0, REGEXMATCH(AA10,""Fighters"")*value(left(AA10))*10+REGEXMATCH(AA10,""Divebombers"")*value(left(AA10))*6+REGEXMATCH(AA10,""Torpbombers"")*v"&amp;"alue(left(AA10))*5+REGEXMATCH(AA10,""Seaplanes"")*value(left(AA10))*4)+ if(ISERROR(value(left(AB10))), 0, REGEXMATCH(AB10,""Fighters"")*value(left(AB10))*10+REGEXMATCH(AB10,""Divebombers"")*value(left(AB10))*6+REGEXMATCH(AB10,""Torpbombers"")*value(left(A"&amp;"B10))*5+REGEXMATCH(AB10,""Seaplanes"")*value(left(AB10))*4))"),875.84)</f>
        <v>875.84</v>
      </c>
      <c r="V10" s="164" t="s">
        <v>1527</v>
      </c>
      <c r="W10" s="148" t="s">
        <v>1528</v>
      </c>
      <c r="X10" s="149" t="s">
        <v>551</v>
      </c>
      <c r="Y10" s="164" t="s">
        <v>1531</v>
      </c>
      <c r="Z10" s="147" t="s">
        <v>1529</v>
      </c>
      <c r="AA10" s="147" t="s">
        <v>1511</v>
      </c>
      <c r="AB10" s="147" t="s">
        <v>1511</v>
      </c>
      <c r="AC10" s="147" t="s">
        <v>1532</v>
      </c>
      <c r="AD10" s="147" t="s">
        <v>1533</v>
      </c>
      <c r="AE10" s="147" t="s">
        <v>1534</v>
      </c>
      <c r="AF10" s="147">
        <v>0.0</v>
      </c>
    </row>
    <row r="11" ht="15.75" customHeight="1">
      <c r="A11" s="141">
        <v>75.0</v>
      </c>
      <c r="B11" s="142" t="s">
        <v>91</v>
      </c>
      <c r="C11" s="143" t="str">
        <f>HYPERLINK("https://azurlane.koumakan.jp/Ranger","Ranger")</f>
        <v>Ranger</v>
      </c>
      <c r="D11" s="142" t="s">
        <v>40</v>
      </c>
      <c r="E11" s="165">
        <v>4892.0</v>
      </c>
      <c r="F11" s="145">
        <v>0.0</v>
      </c>
      <c r="G11" s="145">
        <v>0.0</v>
      </c>
      <c r="H11" s="145">
        <v>244.0</v>
      </c>
      <c r="I11" s="145">
        <v>253.0</v>
      </c>
      <c r="J11" s="145">
        <v>132.0</v>
      </c>
      <c r="K11" s="145">
        <v>76.0</v>
      </c>
      <c r="L11" s="145" t="s">
        <v>71</v>
      </c>
      <c r="M11" s="145">
        <v>29.0</v>
      </c>
      <c r="N11" s="145">
        <v>92.0</v>
      </c>
      <c r="O11" s="166">
        <v>71.0</v>
      </c>
      <c r="P11" s="145">
        <v>109.0</v>
      </c>
      <c r="Q11" s="145">
        <v>9.0</v>
      </c>
      <c r="R11" s="145">
        <v>0.0</v>
      </c>
      <c r="S11" s="145">
        <v>0.0</v>
      </c>
      <c r="T11" s="147" t="s">
        <v>37</v>
      </c>
      <c r="U11" s="308">
        <f>IFERROR(__xludf.DUMMYFUNCTION("((H11+200+REGEXMATCH(Z11,""ers"")*45+REGEXMATCH(AA11,""ers"")*45+REGEXMATCH(AB11,""ers"")*45)/100)*2* (if(ISERROR(value(left(Z11))), 0, REGEXMATCH(Z11,""Fighters"")*value(left(Z11))*10+REGEXMATCH(Z11,""Divebombers"")*value(left(Z11))*6+REGEXMATCH(Z11,""To"&amp;"rpbombers"")*value(left(Z11))*5+REGEXMATCH(Z11,""Seaplanes"")*value(left(Z11))*4)+ if(ISERROR(value(left(AA11))), 0, REGEXMATCH(AA11,""Fighters"")*value(left(AA11))*10+REGEXMATCH(AA11,""Divebombers"")*value(left(AA11))*6+REGEXMATCH(AA11,""Torpbombers"")*v"&amp;"alue(left(AA11))*5+REGEXMATCH(AA11,""Seaplanes"")*value(left(AA11))*4)+ if(ISERROR(value(left(AB11))), 0, REGEXMATCH(AB11,""Fighters"")*value(left(AB11))*10+REGEXMATCH(AB11,""Divebombers"")*value(left(AB11))*6+REGEXMATCH(AB11,""Torpbombers"")*value(left(A"&amp;"B11))*5+REGEXMATCH(AB11,""Seaplanes"")*value(left(AB11))*4))"),532.68)</f>
        <v>532.68</v>
      </c>
      <c r="V11" s="164" t="s">
        <v>1509</v>
      </c>
      <c r="W11" s="149" t="s">
        <v>551</v>
      </c>
      <c r="X11" s="149" t="s">
        <v>551</v>
      </c>
      <c r="Y11" s="149" t="s">
        <v>551</v>
      </c>
      <c r="Z11" s="147" t="s">
        <v>1535</v>
      </c>
      <c r="AA11" s="147" t="s">
        <v>1511</v>
      </c>
      <c r="AB11" s="147" t="s">
        <v>1511</v>
      </c>
      <c r="AC11" s="147" t="s">
        <v>1536</v>
      </c>
      <c r="AD11" s="147">
        <v>0.0</v>
      </c>
      <c r="AE11" s="147" t="s">
        <v>1521</v>
      </c>
      <c r="AF11" s="147" t="s">
        <v>1537</v>
      </c>
    </row>
    <row r="12" ht="15.75" customHeight="1">
      <c r="A12" s="141">
        <v>75.1</v>
      </c>
      <c r="B12" s="142" t="s">
        <v>91</v>
      </c>
      <c r="C12" s="143" t="str">
        <f>HYPERLINK("https://azurlane.koumakan.jp/Ranger#Retrofit","Ranger (R)")</f>
        <v>Ranger (R)</v>
      </c>
      <c r="D12" s="142" t="s">
        <v>36</v>
      </c>
      <c r="E12" s="158">
        <v>5132.0</v>
      </c>
      <c r="F12" s="145">
        <v>0.0</v>
      </c>
      <c r="G12" s="145">
        <v>0.0</v>
      </c>
      <c r="H12" s="145">
        <v>304.0</v>
      </c>
      <c r="I12" s="145">
        <v>288.0</v>
      </c>
      <c r="J12" s="145">
        <v>137.0</v>
      </c>
      <c r="K12" s="145">
        <v>76.0</v>
      </c>
      <c r="L12" s="145" t="s">
        <v>71</v>
      </c>
      <c r="M12" s="145">
        <v>29.0</v>
      </c>
      <c r="N12" s="145">
        <v>92.0</v>
      </c>
      <c r="O12" s="169">
        <v>71.0</v>
      </c>
      <c r="P12" s="145">
        <v>109.0</v>
      </c>
      <c r="Q12" s="145">
        <v>9.0</v>
      </c>
      <c r="R12" s="145">
        <v>0.0</v>
      </c>
      <c r="S12" s="145">
        <v>0.0</v>
      </c>
      <c r="T12" s="147" t="s">
        <v>37</v>
      </c>
      <c r="U12" s="309">
        <f>IFERROR(__xludf.DUMMYFUNCTION("((H12+200+REGEXMATCH(Z12,""ers"")*45+REGEXMATCH(AA12,""ers"")*45+REGEXMATCH(AB12,""ers"")*45)/100)*2* (if(ISERROR(value(left(Z12))), 0, REGEXMATCH(Z12,""Fighters"")*value(left(Z12))*10+REGEXMATCH(Z12,""Divebombers"")*value(left(Z12))*6+REGEXMATCH(Z12,""To"&amp;"rpbombers"")*value(left(Z12))*5+REGEXMATCH(Z12,""Seaplanes"")*value(left(Z12))*4)+ if(ISERROR(value(left(AA12))), 0, REGEXMATCH(AA12,""Fighters"")*value(left(AA12))*10+REGEXMATCH(AA12,""Divebombers"")*value(left(AA12))*6+REGEXMATCH(AA12,""Torpbombers"")*v"&amp;"alue(left(AA12))*5+REGEXMATCH(AA12,""Seaplanes"")*value(left(AA12))*4)+ if(ISERROR(value(left(AB12))), 0, REGEXMATCH(AB12,""Fighters"")*value(left(AB12))*10+REGEXMATCH(AB12,""Divebombers"")*value(left(AB12))*6+REGEXMATCH(AB12,""Torpbombers"")*value(left(A"&amp;"B12))*5+REGEXMATCH(AB12,""Seaplanes"")*value(left(AB12))*4))"),587.88)</f>
        <v>587.88</v>
      </c>
      <c r="V12" s="164" t="s">
        <v>1509</v>
      </c>
      <c r="W12" s="149" t="s">
        <v>551</v>
      </c>
      <c r="X12" s="149" t="s">
        <v>551</v>
      </c>
      <c r="Y12" s="164" t="s">
        <v>1538</v>
      </c>
      <c r="Z12" s="147" t="s">
        <v>1535</v>
      </c>
      <c r="AA12" s="147" t="s">
        <v>1511</v>
      </c>
      <c r="AB12" s="147" t="s">
        <v>1511</v>
      </c>
      <c r="AC12" s="147" t="s">
        <v>1539</v>
      </c>
      <c r="AD12" s="147">
        <v>0.0</v>
      </c>
      <c r="AE12" s="147" t="s">
        <v>1525</v>
      </c>
      <c r="AF12" s="147" t="s">
        <v>1540</v>
      </c>
    </row>
    <row r="13" ht="15.75" customHeight="1">
      <c r="A13" s="141">
        <v>76.0</v>
      </c>
      <c r="B13" s="142" t="s">
        <v>95</v>
      </c>
      <c r="C13" s="143" t="str">
        <f>HYPERLINK("https://azurlane.koumakan.jp/Yorktown","Yorktown")</f>
        <v>Yorktown</v>
      </c>
      <c r="D13" s="142" t="s">
        <v>28</v>
      </c>
      <c r="E13" s="165">
        <v>5933.0</v>
      </c>
      <c r="F13" s="145">
        <v>0.0</v>
      </c>
      <c r="G13" s="145">
        <v>0.0</v>
      </c>
      <c r="H13" s="145">
        <v>401.0</v>
      </c>
      <c r="I13" s="145">
        <v>324.0</v>
      </c>
      <c r="J13" s="145">
        <v>123.0</v>
      </c>
      <c r="K13" s="145">
        <v>56.0</v>
      </c>
      <c r="L13" s="145" t="s">
        <v>71</v>
      </c>
      <c r="M13" s="145">
        <v>32.0</v>
      </c>
      <c r="N13" s="145">
        <v>98.0</v>
      </c>
      <c r="O13" s="166">
        <v>39.0</v>
      </c>
      <c r="P13" s="145">
        <v>0.0</v>
      </c>
      <c r="Q13" s="145">
        <v>12.0</v>
      </c>
      <c r="R13" s="145">
        <v>0.0</v>
      </c>
      <c r="S13" s="145">
        <v>0.0</v>
      </c>
      <c r="T13" s="147" t="s">
        <v>37</v>
      </c>
      <c r="U13" s="310">
        <f>IFERROR(__xludf.DUMMYFUNCTION("((H13+200+REGEXMATCH(Z13,""ers"")*45+REGEXMATCH(AA13,""ers"")*45+REGEXMATCH(AB13,""ers"")*45)/100)*2* (if(ISERROR(value(left(Z13))), 0, REGEXMATCH(Z13,""Fighters"")*value(left(Z13))*10+REGEXMATCH(Z13,""Divebombers"")*value(left(Z13))*6+REGEXMATCH(Z13,""To"&amp;"rpbombers"")*value(left(Z13))*5+REGEXMATCH(Z13,""Seaplanes"")*value(left(Z13))*4)+ if(ISERROR(value(left(AA13))), 0, REGEXMATCH(AA13,""Fighters"")*value(left(AA13))*10+REGEXMATCH(AA13,""Divebombers"")*value(left(AA13))*6+REGEXMATCH(AA13,""Torpbombers"")*v"&amp;"alue(left(AA13))*5+REGEXMATCH(AA13,""Seaplanes"")*value(left(AA13))*4)+ if(ISERROR(value(left(AB13))), 0, REGEXMATCH(AB13,""Fighters"")*value(left(AB13))*10+REGEXMATCH(AB13,""Divebombers"")*value(left(AB13))*6+REGEXMATCH(AB13,""Torpbombers"")*value(left(A"&amp;"B13))*5+REGEXMATCH(AB13,""Seaplanes"")*value(left(AB13))*4))"),853.76)</f>
        <v>853.76</v>
      </c>
      <c r="V13" s="161" t="s">
        <v>1541</v>
      </c>
      <c r="W13" s="148" t="s">
        <v>1528</v>
      </c>
      <c r="X13" s="149" t="s">
        <v>551</v>
      </c>
      <c r="Y13" s="149" t="s">
        <v>551</v>
      </c>
      <c r="Z13" s="147" t="s">
        <v>1510</v>
      </c>
      <c r="AA13" s="147" t="s">
        <v>1511</v>
      </c>
      <c r="AB13" s="147" t="s">
        <v>1535</v>
      </c>
      <c r="AC13" s="147" t="s">
        <v>1542</v>
      </c>
      <c r="AD13" s="147" t="s">
        <v>1543</v>
      </c>
      <c r="AE13" s="147" t="s">
        <v>1543</v>
      </c>
      <c r="AF13" s="147" t="s">
        <v>1533</v>
      </c>
    </row>
    <row r="14" ht="15.75" customHeight="1">
      <c r="A14" s="141">
        <v>77.0</v>
      </c>
      <c r="B14" s="142" t="s">
        <v>95</v>
      </c>
      <c r="C14" s="143" t="str">
        <f>HYPERLINK("https://azurlane.koumakan.jp/Enterprise","Enterprise")</f>
        <v>Enterprise</v>
      </c>
      <c r="D14" s="142" t="s">
        <v>32</v>
      </c>
      <c r="E14" s="165">
        <v>6339.0</v>
      </c>
      <c r="F14" s="145">
        <v>0.0</v>
      </c>
      <c r="G14" s="145">
        <v>0.0</v>
      </c>
      <c r="H14" s="145">
        <v>435.0</v>
      </c>
      <c r="I14" s="145">
        <v>337.0</v>
      </c>
      <c r="J14" s="145">
        <v>134.0</v>
      </c>
      <c r="K14" s="145">
        <v>64.0</v>
      </c>
      <c r="L14" s="145" t="s">
        <v>71</v>
      </c>
      <c r="M14" s="145">
        <v>32.0</v>
      </c>
      <c r="N14" s="145">
        <v>110.0</v>
      </c>
      <c r="O14" s="166">
        <v>93.0</v>
      </c>
      <c r="P14" s="145">
        <v>0.0</v>
      </c>
      <c r="Q14" s="145">
        <v>13.0</v>
      </c>
      <c r="R14" s="145">
        <v>0.0</v>
      </c>
      <c r="S14" s="145">
        <v>0.0</v>
      </c>
      <c r="T14" s="147" t="s">
        <v>37</v>
      </c>
      <c r="U14" s="311">
        <f>IFERROR(__xludf.DUMMYFUNCTION("((H14+200+REGEXMATCH(Z14,""ers"")*45+REGEXMATCH(AA14,""ers"")*45+REGEXMATCH(AB14,""ers"")*45)/100)*2* (if(ISERROR(value(left(Z14))), 0, REGEXMATCH(Z14,""Fighters"")*value(left(Z14))*10+REGEXMATCH(Z14,""Divebombers"")*value(left(Z14))*6+REGEXMATCH(Z14,""To"&amp;"rpbombers"")*value(left(Z14))*5+REGEXMATCH(Z14,""Seaplanes"")*value(left(Z14))*4)+ if(ISERROR(value(left(AA14))), 0, REGEXMATCH(AA14,""Fighters"")*value(left(AA14))*10+REGEXMATCH(AA14,""Divebombers"")*value(left(AA14))*6+REGEXMATCH(AA14,""Torpbombers"")*v"&amp;"alue(left(AA14))*5+REGEXMATCH(AA14,""Seaplanes"")*value(left(AA14))*4)+ if(ISERROR(value(left(AB14))), 0, REGEXMATCH(AB14,""Fighters"")*value(left(AB14))*10+REGEXMATCH(AB14,""Divebombers"")*value(left(AB14))*6+REGEXMATCH(AB14,""Torpbombers"")*value(left(A"&amp;"B14))*5+REGEXMATCH(AB14,""Seaplanes"")*value(left(AB14))*4))"),893.2)</f>
        <v>893.2</v>
      </c>
      <c r="V14" s="164" t="s">
        <v>1544</v>
      </c>
      <c r="W14" s="149" t="s">
        <v>551</v>
      </c>
      <c r="X14" s="149" t="s">
        <v>551</v>
      </c>
      <c r="Y14" s="149" t="s">
        <v>551</v>
      </c>
      <c r="Z14" s="147" t="s">
        <v>1510</v>
      </c>
      <c r="AA14" s="147" t="s">
        <v>1511</v>
      </c>
      <c r="AB14" s="147" t="s">
        <v>1535</v>
      </c>
      <c r="AC14" s="147" t="s">
        <v>1542</v>
      </c>
      <c r="AD14" s="147" t="s">
        <v>1543</v>
      </c>
      <c r="AE14" s="147" t="s">
        <v>1543</v>
      </c>
      <c r="AF14" s="147" t="s">
        <v>1533</v>
      </c>
    </row>
    <row r="15" ht="15.75" customHeight="1">
      <c r="A15" s="141">
        <v>78.0</v>
      </c>
      <c r="B15" s="142" t="s">
        <v>95</v>
      </c>
      <c r="C15" s="143" t="str">
        <f>HYPERLINK("https://azurlane.koumakan.jp/Hornet","Hornet")</f>
        <v>Hornet</v>
      </c>
      <c r="D15" s="142" t="s">
        <v>28</v>
      </c>
      <c r="E15" s="145">
        <v>5960.0</v>
      </c>
      <c r="F15" s="145">
        <v>0.0</v>
      </c>
      <c r="G15" s="145">
        <v>0.0</v>
      </c>
      <c r="H15" s="145">
        <v>406.0</v>
      </c>
      <c r="I15" s="145">
        <v>313.0</v>
      </c>
      <c r="J15" s="145">
        <v>123.0</v>
      </c>
      <c r="K15" s="145">
        <v>56.0</v>
      </c>
      <c r="L15" s="145" t="s">
        <v>71</v>
      </c>
      <c r="M15" s="145">
        <v>32.0</v>
      </c>
      <c r="N15" s="145">
        <v>98.0</v>
      </c>
      <c r="O15" s="145">
        <v>15.0</v>
      </c>
      <c r="P15" s="145">
        <v>0.0</v>
      </c>
      <c r="Q15" s="145">
        <v>12.0</v>
      </c>
      <c r="R15" s="145">
        <v>0.0</v>
      </c>
      <c r="S15" s="145">
        <v>0.0</v>
      </c>
      <c r="T15" s="147" t="s">
        <v>37</v>
      </c>
      <c r="U15" s="312">
        <f>IFERROR(__xludf.DUMMYFUNCTION("((H15+200+REGEXMATCH(Z15,""ers"")*45+REGEXMATCH(AA15,""ers"")*45+REGEXMATCH(AB15,""ers"")*45)/100)*2* (if(ISERROR(value(left(Z15))), 0, REGEXMATCH(Z15,""Fighters"")*value(left(Z15))*10+REGEXMATCH(Z15,""Divebombers"")*value(left(Z15))*6+REGEXMATCH(Z15,""To"&amp;"rpbombers"")*value(left(Z15))*5+REGEXMATCH(Z15,""Seaplanes"")*value(left(Z15))*4)+ if(ISERROR(value(left(AA15))), 0, REGEXMATCH(AA15,""Fighters"")*value(left(AA15))*10+REGEXMATCH(AA15,""Divebombers"")*value(left(AA15))*6+REGEXMATCH(AA15,""Torpbombers"")*v"&amp;"alue(left(AA15))*5+REGEXMATCH(AA15,""Seaplanes"")*value(left(AA15))*4)+ if(ISERROR(value(left(AB15))), 0, REGEXMATCH(AB15,""Fighters"")*value(left(AB15))*10+REGEXMATCH(AB15,""Divebombers"")*value(left(AB15))*6+REGEXMATCH(AB15,""Torpbombers"")*value(left(A"&amp;"B15))*5+REGEXMATCH(AB15,""Seaplanes"")*value(left(AB15))*4))"),859.5600000000001)</f>
        <v>859.56</v>
      </c>
      <c r="V15" s="164" t="s">
        <v>1545</v>
      </c>
      <c r="W15" s="164" t="s">
        <v>1538</v>
      </c>
      <c r="X15" s="149" t="s">
        <v>551</v>
      </c>
      <c r="Y15" s="149" t="s">
        <v>551</v>
      </c>
      <c r="Z15" s="147" t="s">
        <v>1510</v>
      </c>
      <c r="AA15" s="147" t="s">
        <v>1511</v>
      </c>
      <c r="AB15" s="147" t="s">
        <v>1535</v>
      </c>
      <c r="AC15" s="147" t="s">
        <v>1542</v>
      </c>
      <c r="AD15" s="147" t="s">
        <v>1543</v>
      </c>
      <c r="AE15" s="147" t="s">
        <v>1543</v>
      </c>
      <c r="AF15" s="147" t="s">
        <v>1533</v>
      </c>
    </row>
    <row r="16" ht="15.75" customHeight="1">
      <c r="A16" s="141">
        <v>79.0</v>
      </c>
      <c r="B16" s="142" t="s">
        <v>95</v>
      </c>
      <c r="C16" s="143" t="str">
        <f>HYPERLINK("https://azurlane.koumakan.jp/Wasp","Wasp")</f>
        <v>Wasp</v>
      </c>
      <c r="D16" s="142" t="s">
        <v>36</v>
      </c>
      <c r="E16" s="145">
        <v>5010.0</v>
      </c>
      <c r="F16" s="145">
        <v>0.0</v>
      </c>
      <c r="G16" s="145">
        <v>0.0</v>
      </c>
      <c r="H16" s="145">
        <v>334.0</v>
      </c>
      <c r="I16" s="145">
        <v>278.0</v>
      </c>
      <c r="J16" s="145">
        <v>119.0</v>
      </c>
      <c r="K16" s="145">
        <v>53.0</v>
      </c>
      <c r="L16" s="145" t="s">
        <v>71</v>
      </c>
      <c r="M16" s="145">
        <v>29.0</v>
      </c>
      <c r="N16" s="145">
        <v>90.0</v>
      </c>
      <c r="O16" s="145">
        <v>20.0</v>
      </c>
      <c r="P16" s="145">
        <v>0.0</v>
      </c>
      <c r="Q16" s="145">
        <v>11.0</v>
      </c>
      <c r="R16" s="145">
        <v>0.0</v>
      </c>
      <c r="S16" s="145">
        <v>0.0</v>
      </c>
      <c r="T16" s="147" t="s">
        <v>37</v>
      </c>
      <c r="U16" s="313">
        <f>IFERROR(__xludf.DUMMYFUNCTION("((H16+200+REGEXMATCH(Z16,""ers"")*45+REGEXMATCH(AA16,""ers"")*45+REGEXMATCH(AB16,""ers"")*45)/100)*2* (if(ISERROR(value(left(Z16))), 0, REGEXMATCH(Z16,""Fighters"")*value(left(Z16))*10+REGEXMATCH(Z16,""Divebombers"")*value(left(Z16))*6+REGEXMATCH(Z16,""To"&amp;"rpbombers"")*value(left(Z16))*5+REGEXMATCH(Z16,""Seaplanes"")*value(left(Z16))*4)+ if(ISERROR(value(left(AA16))), 0, REGEXMATCH(AA16,""Fighters"")*value(left(AA16))*10+REGEXMATCH(AA16,""Divebombers"")*value(left(AA16))*6+REGEXMATCH(AA16,""Torpbombers"")*v"&amp;"alue(left(AA16))*5+REGEXMATCH(AA16,""Seaplanes"")*value(left(AA16))*4)+ if(ISERROR(value(left(AB16))), 0, REGEXMATCH(AB16,""Fighters"")*value(left(AB16))*10+REGEXMATCH(AB16,""Divebombers"")*value(left(AB16))*6+REGEXMATCH(AB16,""Torpbombers"")*value(left(A"&amp;"B16))*5+REGEXMATCH(AB16,""Seaplanes"")*value(left(AB16))*4))"),776.0400000000001)</f>
        <v>776.04</v>
      </c>
      <c r="V16" s="164" t="s">
        <v>1546</v>
      </c>
      <c r="W16" s="149" t="s">
        <v>551</v>
      </c>
      <c r="X16" s="149" t="s">
        <v>551</v>
      </c>
      <c r="Y16" s="149" t="s">
        <v>551</v>
      </c>
      <c r="Z16" s="147" t="s">
        <v>1510</v>
      </c>
      <c r="AA16" s="147" t="s">
        <v>1511</v>
      </c>
      <c r="AB16" s="147" t="s">
        <v>1535</v>
      </c>
      <c r="AC16" s="147" t="s">
        <v>1542</v>
      </c>
      <c r="AD16" s="147" t="s">
        <v>1543</v>
      </c>
      <c r="AE16" s="147" t="s">
        <v>1543</v>
      </c>
      <c r="AF16" s="147" t="s">
        <v>1533</v>
      </c>
    </row>
    <row r="17" ht="15.75" customHeight="1">
      <c r="A17" s="141">
        <v>140.0</v>
      </c>
      <c r="B17" s="142" t="s">
        <v>91</v>
      </c>
      <c r="C17" s="143" t="str">
        <f>HYPERLINK("https://azurlane.koumakan.jp/Hermes","Hermes")</f>
        <v>Hermes</v>
      </c>
      <c r="D17" s="142" t="s">
        <v>40</v>
      </c>
      <c r="E17" s="145">
        <v>4257.0</v>
      </c>
      <c r="F17" s="145">
        <v>0.0</v>
      </c>
      <c r="G17" s="145">
        <v>0.0</v>
      </c>
      <c r="H17" s="145">
        <v>284.0</v>
      </c>
      <c r="I17" s="145">
        <v>253.0</v>
      </c>
      <c r="J17" s="145">
        <v>175.0</v>
      </c>
      <c r="K17" s="145">
        <v>69.0</v>
      </c>
      <c r="L17" s="145" t="s">
        <v>71</v>
      </c>
      <c r="M17" s="145">
        <v>25.0</v>
      </c>
      <c r="N17" s="145">
        <v>83.0</v>
      </c>
      <c r="O17" s="145">
        <v>41.0</v>
      </c>
      <c r="P17" s="145">
        <v>105.0</v>
      </c>
      <c r="Q17" s="145">
        <v>9.0</v>
      </c>
      <c r="R17" s="145">
        <v>0.0</v>
      </c>
      <c r="S17" s="145">
        <v>0.0</v>
      </c>
      <c r="T17" s="147" t="s">
        <v>104</v>
      </c>
      <c r="U17" s="314">
        <f>IFERROR(__xludf.DUMMYFUNCTION("((H17+200+REGEXMATCH(Z17,""ers"")*45+REGEXMATCH(AA17,""ers"")*45+REGEXMATCH(AB17,""ers"")*45)/100)*2* (if(ISERROR(value(left(Z17))), 0, REGEXMATCH(Z17,""Fighters"")*value(left(Z17))*10+REGEXMATCH(Z17,""Divebombers"")*value(left(Z17))*6+REGEXMATCH(Z17,""To"&amp;"rpbombers"")*value(left(Z17))*5+REGEXMATCH(Z17,""Seaplanes"")*value(left(Z17))*4)+ if(ISERROR(value(left(AA17))), 0, REGEXMATCH(AA17,""Fighters"")*value(left(AA17))*10+REGEXMATCH(AA17,""Divebombers"")*value(left(AA17))*6+REGEXMATCH(AA17,""Torpbombers"")*v"&amp;"alue(left(AA17))*5+REGEXMATCH(AA17,""Seaplanes"")*value(left(AA17))*4)+ if(ISERROR(value(left(AB17))), 0, REGEXMATCH(AB17,""Fighters"")*value(left(AB17))*10+REGEXMATCH(AB17,""Divebombers"")*value(left(AB17))*6+REGEXMATCH(AB17,""Torpbombers"")*value(left(A"&amp;"B17))*5+REGEXMATCH(AB17,""Seaplanes"")*value(left(AB17))*4))"),344.40000000000003)</f>
        <v>344.4</v>
      </c>
      <c r="V17" s="164" t="s">
        <v>1538</v>
      </c>
      <c r="W17" s="149" t="s">
        <v>551</v>
      </c>
      <c r="X17" s="149" t="s">
        <v>551</v>
      </c>
      <c r="Y17" s="149" t="s">
        <v>551</v>
      </c>
      <c r="Z17" s="147" t="s">
        <v>1547</v>
      </c>
      <c r="AA17" s="147" t="s">
        <v>1547</v>
      </c>
      <c r="AB17" s="147" t="s">
        <v>11</v>
      </c>
      <c r="AC17" s="147" t="s">
        <v>1512</v>
      </c>
      <c r="AD17" s="147">
        <v>0.0</v>
      </c>
      <c r="AE17" s="147">
        <v>0.0</v>
      </c>
      <c r="AF17" s="147" t="s">
        <v>1521</v>
      </c>
    </row>
    <row r="18" ht="15.75" customHeight="1">
      <c r="A18" s="294">
        <v>140.1</v>
      </c>
      <c r="B18" s="315" t="s">
        <v>91</v>
      </c>
      <c r="C18" s="296" t="str">
        <f>HYPERLINK("https://azurlane.koumakan.jp/Hermes#Retrofit","Hermes (R)")</f>
        <v>Hermes (R)</v>
      </c>
      <c r="D18" s="316" t="s">
        <v>36</v>
      </c>
      <c r="E18" s="317">
        <v>4467.0</v>
      </c>
      <c r="F18" s="318">
        <v>0.0</v>
      </c>
      <c r="G18" s="318">
        <v>0.0</v>
      </c>
      <c r="H18" s="319">
        <v>304.0</v>
      </c>
      <c r="I18" s="319">
        <v>303.0</v>
      </c>
      <c r="J18" s="319">
        <v>195.0</v>
      </c>
      <c r="K18" s="319">
        <v>69.0</v>
      </c>
      <c r="L18" s="318" t="s">
        <v>71</v>
      </c>
      <c r="M18" s="318">
        <v>25.0</v>
      </c>
      <c r="N18" s="319">
        <v>83.0</v>
      </c>
      <c r="O18" s="320">
        <v>41.0</v>
      </c>
      <c r="P18" s="319">
        <v>105.0</v>
      </c>
      <c r="Q18" s="318">
        <v>9.0</v>
      </c>
      <c r="R18" s="318">
        <v>0.0</v>
      </c>
      <c r="S18" s="318">
        <v>0.0</v>
      </c>
      <c r="T18" s="147" t="s">
        <v>104</v>
      </c>
      <c r="U18" s="321">
        <f>IFERROR(__xludf.DUMMYFUNCTION("((H18+200+REGEXMATCH(Z18,""ers"")*45+REGEXMATCH(AA18,""ers"")*45+REGEXMATCH(AB18,""ers"")*45)/100)*2* (if(ISERROR(value(left(Z18))), 0, REGEXMATCH(Z18,""Fighters"")*value(left(Z18))*10+REGEXMATCH(Z18,""Divebombers"")*value(left(Z18))*6+REGEXMATCH(Z18,""To"&amp;"rpbombers"")*value(left(Z18))*5+REGEXMATCH(Z18,""Seaplanes"")*value(left(Z18))*4)+ if(ISERROR(value(left(AA18))), 0, REGEXMATCH(AA18,""Fighters"")*value(left(AA18))*10+REGEXMATCH(AA18,""Divebombers"")*value(left(AA18))*6+REGEXMATCH(AA18,""Torpbombers"")*v"&amp;"alue(left(AA18))*5+REGEXMATCH(AA18,""Seaplanes"")*value(left(AA18))*4)+ if(ISERROR(value(left(AB18))), 0, REGEXMATCH(AB18,""Fighters"")*value(left(AB18))*10+REGEXMATCH(AB18,""Divebombers"")*value(left(AB18))*6+REGEXMATCH(AB18,""Torpbombers"")*value(left(A"&amp;"B18))*5+REGEXMATCH(AB18,""Seaplanes"")*value(left(AB18))*4))"),356.40000000000003)</f>
        <v>356.4</v>
      </c>
      <c r="V18" s="164" t="s">
        <v>1538</v>
      </c>
      <c r="W18" s="149" t="s">
        <v>551</v>
      </c>
      <c r="X18" s="149" t="s">
        <v>551</v>
      </c>
      <c r="Y18" s="164" t="s">
        <v>1548</v>
      </c>
      <c r="Z18" s="147" t="s">
        <v>1547</v>
      </c>
      <c r="AA18" s="147" t="s">
        <v>1547</v>
      </c>
      <c r="AB18" s="147" t="s">
        <v>11</v>
      </c>
      <c r="AC18" s="147" t="s">
        <v>1549</v>
      </c>
      <c r="AD18" s="147">
        <v>0.0</v>
      </c>
      <c r="AE18" s="147">
        <v>0.0</v>
      </c>
      <c r="AF18" s="147" t="s">
        <v>1534</v>
      </c>
    </row>
    <row r="19" ht="15.75" customHeight="1">
      <c r="A19" s="141">
        <v>142.0</v>
      </c>
      <c r="B19" s="142" t="s">
        <v>91</v>
      </c>
      <c r="C19" s="143" t="str">
        <f>HYPERLINK("https://azurlane.koumakan.jp/Unicorn","Unicorn")</f>
        <v>Unicorn</v>
      </c>
      <c r="D19" s="142" t="s">
        <v>28</v>
      </c>
      <c r="E19" s="165">
        <v>5464.0</v>
      </c>
      <c r="F19" s="145">
        <v>0.0</v>
      </c>
      <c r="G19" s="145">
        <v>0.0</v>
      </c>
      <c r="H19" s="145">
        <v>311.0</v>
      </c>
      <c r="I19" s="145">
        <v>274.0</v>
      </c>
      <c r="J19" s="145">
        <v>183.0</v>
      </c>
      <c r="K19" s="145">
        <v>68.0</v>
      </c>
      <c r="L19" s="145" t="s">
        <v>71</v>
      </c>
      <c r="M19" s="145">
        <v>24.0</v>
      </c>
      <c r="N19" s="145">
        <v>86.0</v>
      </c>
      <c r="O19" s="166">
        <v>78.0</v>
      </c>
      <c r="P19" s="145">
        <v>110.0</v>
      </c>
      <c r="Q19" s="145">
        <v>11.0</v>
      </c>
      <c r="R19" s="145">
        <v>0.0</v>
      </c>
      <c r="S19" s="145">
        <v>0.0</v>
      </c>
      <c r="T19" s="147" t="s">
        <v>104</v>
      </c>
      <c r="U19" s="322">
        <f>IFERROR(__xludf.DUMMYFUNCTION("((H19+200+REGEXMATCH(Z19,""ers"")*45+REGEXMATCH(AA19,""ers"")*45+REGEXMATCH(AB19,""ers"")*45)/100)*2* (if(ISERROR(value(left(Z19))), 0, REGEXMATCH(Z19,""Fighters"")*value(left(Z19))*10+REGEXMATCH(Z19,""Divebombers"")*value(left(Z19))*6+REGEXMATCH(Z19,""To"&amp;"rpbombers"")*value(left(Z19))*5+REGEXMATCH(Z19,""Seaplanes"")*value(left(Z19))*4)+ if(ISERROR(value(left(AA19))), 0, REGEXMATCH(AA19,""Fighters"")*value(left(AA19))*10+REGEXMATCH(AA19,""Divebombers"")*value(left(AA19))*6+REGEXMATCH(AA19,""Torpbombers"")*v"&amp;"alue(left(AA19))*5+REGEXMATCH(AA19,""Seaplanes"")*value(left(AA19))*4)+ if(ISERROR(value(left(AB19))), 0, REGEXMATCH(AB19,""Fighters"")*value(left(AB19))*10+REGEXMATCH(AB19,""Divebombers"")*value(left(AB19))*6+REGEXMATCH(AB19,""Torpbombers"")*value(left(A"&amp;"B19))*5+REGEXMATCH(AB19,""Seaplanes"")*value(left(AB19))*4))"),540.9)</f>
        <v>540.9</v>
      </c>
      <c r="V19" s="148" t="s">
        <v>1550</v>
      </c>
      <c r="W19" s="148" t="s">
        <v>1551</v>
      </c>
      <c r="X19" s="149" t="s">
        <v>551</v>
      </c>
      <c r="Y19" s="149" t="s">
        <v>551</v>
      </c>
      <c r="Z19" s="147" t="s">
        <v>1510</v>
      </c>
      <c r="AA19" s="147" t="s">
        <v>1547</v>
      </c>
      <c r="AB19" s="147" t="s">
        <v>11</v>
      </c>
      <c r="AC19" s="147" t="s">
        <v>1512</v>
      </c>
      <c r="AD19" s="147" t="s">
        <v>1552</v>
      </c>
      <c r="AE19" s="147">
        <v>0.0</v>
      </c>
      <c r="AF19" s="147" t="s">
        <v>1513</v>
      </c>
    </row>
    <row r="20" ht="15.75" customHeight="1">
      <c r="A20" s="182">
        <v>143.0</v>
      </c>
      <c r="B20" s="183" t="s">
        <v>95</v>
      </c>
      <c r="C20" s="152" t="s">
        <v>132</v>
      </c>
      <c r="D20" s="170" t="s">
        <v>28</v>
      </c>
      <c r="E20" s="191">
        <v>6341.0</v>
      </c>
      <c r="F20" s="170">
        <v>218.0</v>
      </c>
      <c r="G20" s="170">
        <v>0.0</v>
      </c>
      <c r="H20" s="170">
        <v>375.0</v>
      </c>
      <c r="I20" s="170">
        <v>314.0</v>
      </c>
      <c r="J20" s="170">
        <v>114.0</v>
      </c>
      <c r="K20" s="170">
        <v>48.0</v>
      </c>
      <c r="L20" s="170" t="s">
        <v>71</v>
      </c>
      <c r="M20" s="170">
        <v>24.0</v>
      </c>
      <c r="N20" s="170">
        <v>92.0</v>
      </c>
      <c r="O20" s="192">
        <v>40.0</v>
      </c>
      <c r="P20" s="170">
        <v>0.0</v>
      </c>
      <c r="Q20" s="170">
        <v>12.0</v>
      </c>
      <c r="R20" s="170">
        <v>0.0</v>
      </c>
      <c r="S20" s="170">
        <v>0.0</v>
      </c>
      <c r="T20" s="170" t="s">
        <v>104</v>
      </c>
      <c r="U20" s="323">
        <f>IFERROR(__xludf.DUMMYFUNCTION("((H20+200+REGEXMATCH(Z20,""ers"")*45+REGEXMATCH(AA20,""ers"")*45+REGEXMATCH(AB20,""ers"")*45)/100)*2* (if(ISERROR(value(left(Z20))), 0, REGEXMATCH(Z20,""Fighters"")*value(left(Z20))*10+REGEXMATCH(Z20,""Divebombers"")*value(left(Z20))*6+REGEXMATCH(Z20,""To"&amp;"rpbombers"")*value(left(Z20))*5+REGEXMATCH(Z20,""Seaplanes"")*value(left(Z20))*4)+ if(ISERROR(value(left(AA20))), 0, REGEXMATCH(AA20,""Fighters"")*value(left(AA20))*10+REGEXMATCH(AA20,""Divebombers"")*value(left(AA20))*6+REGEXMATCH(AA20,""Torpbombers"")*v"&amp;"alue(left(AA20))*5+REGEXMATCH(AA20,""Seaplanes"")*value(left(AA20))*4)+ if(ISERROR(value(left(AB20))), 0, REGEXMATCH(AB20,""Fighters"")*value(left(AB20))*10+REGEXMATCH(AB20,""Divebombers"")*value(left(AB20))*6+REGEXMATCH(AB20,""Torpbombers"")*value(left(A"&amp;"B20))*5+REGEXMATCH(AB20,""Seaplanes"")*value(left(AB20))*4))"),639.0)</f>
        <v>639</v>
      </c>
      <c r="V20" s="179" t="s">
        <v>1553</v>
      </c>
      <c r="W20" s="179" t="s">
        <v>1554</v>
      </c>
      <c r="X20" s="149" t="s">
        <v>551</v>
      </c>
      <c r="Y20" s="149" t="s">
        <v>551</v>
      </c>
      <c r="Z20" s="147" t="s">
        <v>1510</v>
      </c>
      <c r="AA20" s="147" t="s">
        <v>1547</v>
      </c>
      <c r="AB20" s="147" t="s">
        <v>1555</v>
      </c>
      <c r="AC20" s="147" t="s">
        <v>1556</v>
      </c>
      <c r="AD20" s="147" t="s">
        <v>1557</v>
      </c>
      <c r="AE20" s="147" t="s">
        <v>1558</v>
      </c>
      <c r="AF20" s="147" t="s">
        <v>1559</v>
      </c>
    </row>
    <row r="21" ht="15.75" customHeight="1">
      <c r="A21" s="141">
        <v>144.0</v>
      </c>
      <c r="B21" s="142" t="s">
        <v>95</v>
      </c>
      <c r="C21" s="143" t="str">
        <f>HYPERLINK("https://azurlane.koumakan.jp/Ark_Royal","Ark Royal")</f>
        <v>Ark Royal</v>
      </c>
      <c r="D21" s="142" t="s">
        <v>28</v>
      </c>
      <c r="E21" s="145">
        <v>6251.0</v>
      </c>
      <c r="F21" s="145">
        <v>0.0</v>
      </c>
      <c r="G21" s="145">
        <v>0.0</v>
      </c>
      <c r="H21" s="145">
        <v>405.0</v>
      </c>
      <c r="I21" s="145">
        <v>314.0</v>
      </c>
      <c r="J21" s="145">
        <v>119.0</v>
      </c>
      <c r="K21" s="145">
        <v>55.0</v>
      </c>
      <c r="L21" s="145" t="s">
        <v>71</v>
      </c>
      <c r="M21" s="145">
        <v>31.0</v>
      </c>
      <c r="N21" s="145">
        <v>104.0</v>
      </c>
      <c r="O21" s="145">
        <v>87.0</v>
      </c>
      <c r="P21" s="145">
        <v>0.0</v>
      </c>
      <c r="Q21" s="145">
        <v>12.0</v>
      </c>
      <c r="R21" s="145">
        <v>0.0</v>
      </c>
      <c r="S21" s="145">
        <v>0.0</v>
      </c>
      <c r="T21" s="147" t="s">
        <v>104</v>
      </c>
      <c r="U21" s="324">
        <f>IFERROR(__xludf.DUMMYFUNCTION("((H21+200+REGEXMATCH(Z21,""ers"")*45+REGEXMATCH(AA21,""ers"")*45+REGEXMATCH(AB21,""ers"")*45)/100)*2* (if(ISERROR(value(left(Z21))), 0, REGEXMATCH(Z21,""Fighters"")*value(left(Z21))*10+REGEXMATCH(Z21,""Divebombers"")*value(left(Z21))*6+REGEXMATCH(Z21,""To"&amp;"rpbombers"")*value(left(Z21))*5+REGEXMATCH(Z21,""Seaplanes"")*value(left(Z21))*4)+ if(ISERROR(value(left(AA21))), 0, REGEXMATCH(AA21,""Fighters"")*value(left(AA21))*10+REGEXMATCH(AA21,""Divebombers"")*value(left(AA21))*6+REGEXMATCH(AA21,""Torpbombers"")*v"&amp;"alue(left(AA21))*5+REGEXMATCH(AA21,""Seaplanes"")*value(left(AA21))*4)+ if(ISERROR(value(left(AB21))), 0, REGEXMATCH(AB21,""Fighters"")*value(left(AB21))*10+REGEXMATCH(AB21,""Divebombers"")*value(left(AB21))*6+REGEXMATCH(AB21,""Torpbombers"")*value(left(A"&amp;"B21))*5+REGEXMATCH(AB21,""Seaplanes"")*value(left(AB21))*4))"),621.6)</f>
        <v>621.6</v>
      </c>
      <c r="V21" s="164" t="s">
        <v>1560</v>
      </c>
      <c r="W21" s="164" t="s">
        <v>1538</v>
      </c>
      <c r="X21" s="149" t="s">
        <v>551</v>
      </c>
      <c r="Y21" s="149" t="s">
        <v>551</v>
      </c>
      <c r="Z21" s="147" t="s">
        <v>1547</v>
      </c>
      <c r="AA21" s="147" t="s">
        <v>1547</v>
      </c>
      <c r="AB21" s="147" t="s">
        <v>1520</v>
      </c>
      <c r="AC21" s="147" t="s">
        <v>1561</v>
      </c>
      <c r="AD21" s="147">
        <v>0.0</v>
      </c>
      <c r="AE21" s="147" t="s">
        <v>1522</v>
      </c>
      <c r="AF21" s="147" t="s">
        <v>1534</v>
      </c>
    </row>
    <row r="22" ht="15.75" customHeight="1">
      <c r="A22" s="156">
        <v>144.1</v>
      </c>
      <c r="B22" s="259" t="s">
        <v>95</v>
      </c>
      <c r="C22" s="171" t="s">
        <v>136</v>
      </c>
      <c r="D22" s="158" t="s">
        <v>32</v>
      </c>
      <c r="E22" s="260">
        <v>6461.0</v>
      </c>
      <c r="F22" s="261">
        <v>0.0</v>
      </c>
      <c r="G22" s="261">
        <v>0.0</v>
      </c>
      <c r="H22" s="261">
        <v>440.0</v>
      </c>
      <c r="I22" s="261">
        <v>364.0</v>
      </c>
      <c r="J22" s="261">
        <v>134.0</v>
      </c>
      <c r="K22" s="261">
        <v>55.0</v>
      </c>
      <c r="L22" s="261" t="s">
        <v>71</v>
      </c>
      <c r="M22" s="261">
        <v>31.0</v>
      </c>
      <c r="N22" s="154">
        <v>109.0</v>
      </c>
      <c r="O22" s="176">
        <v>87.0</v>
      </c>
      <c r="P22" s="261">
        <v>0.0</v>
      </c>
      <c r="Q22" s="261">
        <v>12.0</v>
      </c>
      <c r="R22" s="261">
        <v>0.0</v>
      </c>
      <c r="S22" s="261">
        <v>0.0</v>
      </c>
      <c r="T22" s="147" t="s">
        <v>104</v>
      </c>
      <c r="U22" s="323">
        <f>IFERROR(__xludf.DUMMYFUNCTION("((H22+200+REGEXMATCH(Z22,""ers"")*45+REGEXMATCH(AA22,""ers"")*45+REGEXMATCH(AB22,""ers"")*45)/100)*2* (if(ISERROR(value(left(Z22))), 0, REGEXMATCH(Z22,""Fighters"")*value(left(Z22))*10+REGEXMATCH(Z22,""Divebombers"")*value(left(Z22))*6+REGEXMATCH(Z22,""To"&amp;"rpbombers"")*value(left(Z22))*5+REGEXMATCH(Z22,""Seaplanes"")*value(left(Z22))*4)+ if(ISERROR(value(left(AA22))), 0, REGEXMATCH(AA22,""Fighters"")*value(left(AA22))*10+REGEXMATCH(AA22,""Divebombers"")*value(left(AA22))*6+REGEXMATCH(AA22,""Torpbombers"")*v"&amp;"alue(left(AA22))*5+REGEXMATCH(AA22,""Seaplanes"")*value(left(AA22))*4)+ if(ISERROR(value(left(AB22))), 0, REGEXMATCH(AB22,""Fighters"")*value(left(AB22))*10+REGEXMATCH(AB22,""Divebombers"")*value(left(AB22))*6+REGEXMATCH(AB22,""Torpbombers"")*value(left(A"&amp;"B22))*5+REGEXMATCH(AB22,""Seaplanes"")*value(left(AB22))*4))"),651.0)</f>
        <v>651</v>
      </c>
      <c r="V22" s="164" t="s">
        <v>1560</v>
      </c>
      <c r="W22" s="164" t="s">
        <v>1538</v>
      </c>
      <c r="X22" s="147" t="s">
        <v>551</v>
      </c>
      <c r="Y22" s="325" t="s">
        <v>1562</v>
      </c>
      <c r="Z22" s="147" t="s">
        <v>1547</v>
      </c>
      <c r="AA22" s="147" t="s">
        <v>1547</v>
      </c>
      <c r="AB22" s="147" t="s">
        <v>1520</v>
      </c>
      <c r="AC22" s="147" t="s">
        <v>1563</v>
      </c>
      <c r="AD22" s="147">
        <v>0.0</v>
      </c>
      <c r="AE22" s="147" t="s">
        <v>1564</v>
      </c>
      <c r="AF22" s="147" t="s">
        <v>1565</v>
      </c>
    </row>
    <row r="23">
      <c r="A23" s="141">
        <v>145.0</v>
      </c>
      <c r="B23" s="185" t="s">
        <v>95</v>
      </c>
      <c r="C23" s="187" t="str">
        <f>HYPERLINK("https://azurlane.koumakan.jp/Illustrious","Illustrious")</f>
        <v>Illustrious</v>
      </c>
      <c r="D23" s="185" t="s">
        <v>32</v>
      </c>
      <c r="E23" s="165">
        <v>6713.0</v>
      </c>
      <c r="F23" s="165">
        <v>0.0</v>
      </c>
      <c r="G23" s="165">
        <v>0.0</v>
      </c>
      <c r="H23" s="165">
        <v>405.0</v>
      </c>
      <c r="I23" s="165">
        <v>303.0</v>
      </c>
      <c r="J23" s="165">
        <v>119.0</v>
      </c>
      <c r="K23" s="165">
        <v>55.0</v>
      </c>
      <c r="L23" s="165" t="s">
        <v>83</v>
      </c>
      <c r="M23" s="165">
        <v>30.0</v>
      </c>
      <c r="N23" s="165">
        <v>93.0</v>
      </c>
      <c r="O23" s="165">
        <v>44.0</v>
      </c>
      <c r="P23" s="165">
        <v>0.0</v>
      </c>
      <c r="Q23" s="165">
        <v>13.0</v>
      </c>
      <c r="R23" s="165">
        <v>0.0</v>
      </c>
      <c r="S23" s="165">
        <v>0.0</v>
      </c>
      <c r="T23" s="160" t="s">
        <v>104</v>
      </c>
      <c r="U23" s="326">
        <f>IFERROR(__xludf.DUMMYFUNCTION("((H23+200+REGEXMATCH(Z23,""ers"")*45+REGEXMATCH(AA23,""ers"")*45+REGEXMATCH(AB23,""ers"")*45)/100)*2* (if(ISERROR(value(left(Z23))), 0, REGEXMATCH(Z23,""Fighters"")*value(left(Z23))*10+REGEXMATCH(Z23,""Divebombers"")*value(left(Z23))*6+REGEXMATCH(Z23,""To"&amp;"rpbombers"")*value(left(Z23))*5+REGEXMATCH(Z23,""Seaplanes"")*value(left(Z23))*4)+ if(ISERROR(value(left(AA23))), 0, REGEXMATCH(AA23,""Fighters"")*value(left(AA23))*10+REGEXMATCH(AA23,""Divebombers"")*value(left(AA23))*6+REGEXMATCH(AA23,""Torpbombers"")*v"&amp;"alue(left(AA23))*5+REGEXMATCH(AA23,""Seaplanes"")*value(left(AA23))*4)+ if(ISERROR(value(left(AB23))), 0, REGEXMATCH(AB23,""Fighters"")*value(left(AB23))*10+REGEXMATCH(AB23,""Divebombers"")*value(left(AB23))*6+REGEXMATCH(AB23,""Torpbombers"")*value(left(A"&amp;"B23))*5+REGEXMATCH(AB23,""Seaplanes"")*value(left(AB23))*4))"),1036.0)</f>
        <v>1036</v>
      </c>
      <c r="V23" s="148" t="s">
        <v>1566</v>
      </c>
      <c r="W23" s="149" t="s">
        <v>551</v>
      </c>
      <c r="X23" s="149" t="s">
        <v>551</v>
      </c>
      <c r="Y23" s="149" t="s">
        <v>551</v>
      </c>
      <c r="Z23" s="147" t="s">
        <v>1510</v>
      </c>
      <c r="AA23" s="147" t="s">
        <v>1510</v>
      </c>
      <c r="AB23" s="147" t="s">
        <v>1535</v>
      </c>
      <c r="AC23" s="147" t="s">
        <v>1567</v>
      </c>
      <c r="AD23" s="147" t="s">
        <v>1568</v>
      </c>
      <c r="AE23" s="147">
        <v>0.0</v>
      </c>
      <c r="AF23" s="147" t="s">
        <v>1569</v>
      </c>
    </row>
    <row r="24" ht="15.75" customHeight="1">
      <c r="A24" s="141">
        <v>146.0</v>
      </c>
      <c r="B24" s="142" t="s">
        <v>95</v>
      </c>
      <c r="C24" s="143" t="str">
        <f>HYPERLINK("https://azurlane.koumakan.jp/Victorious","Victorious")</f>
        <v>Victorious</v>
      </c>
      <c r="D24" s="142" t="s">
        <v>32</v>
      </c>
      <c r="E24" s="145">
        <v>6409.0</v>
      </c>
      <c r="F24" s="145">
        <v>0.0</v>
      </c>
      <c r="G24" s="145">
        <v>0.0</v>
      </c>
      <c r="H24" s="145">
        <v>415.0</v>
      </c>
      <c r="I24" s="145">
        <v>295.0</v>
      </c>
      <c r="J24" s="145">
        <v>105.0</v>
      </c>
      <c r="K24" s="145">
        <v>55.0</v>
      </c>
      <c r="L24" s="145" t="s">
        <v>83</v>
      </c>
      <c r="M24" s="145">
        <v>30.0</v>
      </c>
      <c r="N24" s="145">
        <v>92.0</v>
      </c>
      <c r="O24" s="145">
        <v>82.0</v>
      </c>
      <c r="P24" s="145">
        <v>0.0</v>
      </c>
      <c r="Q24" s="145">
        <v>13.0</v>
      </c>
      <c r="R24" s="145">
        <v>0.0</v>
      </c>
      <c r="S24" s="145">
        <v>0.0</v>
      </c>
      <c r="T24" s="147" t="s">
        <v>104</v>
      </c>
      <c r="U24" s="327">
        <f>IFERROR(__xludf.DUMMYFUNCTION("((H24+200+REGEXMATCH(Z24,""ers"")*45+REGEXMATCH(AA24,""ers"")*45+REGEXMATCH(AB24,""ers"")*45)/100)*2* (if(ISERROR(value(left(Z24))), 0, REGEXMATCH(Z24,""Fighters"")*value(left(Z24))*10+REGEXMATCH(Z24,""Divebombers"")*value(left(Z24))*6+REGEXMATCH(Z24,""To"&amp;"rpbombers"")*value(left(Z24))*5+REGEXMATCH(Z24,""Seaplanes"")*value(left(Z24))*4)+ if(ISERROR(value(left(AA24))), 0, REGEXMATCH(AA24,""Fighters"")*value(left(AA24))*10+REGEXMATCH(AA24,""Divebombers"")*value(left(AA24))*6+REGEXMATCH(AA24,""Torpbombers"")*v"&amp;"alue(left(AA24))*5+REGEXMATCH(AA24,""Seaplanes"")*value(left(AA24))*4)+ if(ISERROR(value(left(AB24))), 0, REGEXMATCH(AB24,""Fighters"")*value(left(AB24))*10+REGEXMATCH(AB24,""Divebombers"")*value(left(AB24))*6+REGEXMATCH(AB24,""Torpbombers"")*value(left(A"&amp;"B24))*5+REGEXMATCH(AB24,""Seaplanes"")*value(left(AB24))*4))"),795.0)</f>
        <v>795</v>
      </c>
      <c r="V24" s="164" t="s">
        <v>1570</v>
      </c>
      <c r="W24" s="164" t="s">
        <v>1538</v>
      </c>
      <c r="X24" s="149" t="s">
        <v>551</v>
      </c>
      <c r="Y24" s="149" t="s">
        <v>551</v>
      </c>
      <c r="Z24" s="147" t="s">
        <v>1529</v>
      </c>
      <c r="AA24" s="147" t="s">
        <v>1511</v>
      </c>
      <c r="AB24" s="147" t="s">
        <v>1547</v>
      </c>
      <c r="AC24" s="147" t="s">
        <v>558</v>
      </c>
      <c r="AD24" s="147" t="s">
        <v>1530</v>
      </c>
      <c r="AE24" s="147" t="s">
        <v>1513</v>
      </c>
      <c r="AF24" s="147" t="s">
        <v>1513</v>
      </c>
    </row>
    <row r="25" ht="15.75" customHeight="1">
      <c r="A25" s="182">
        <v>147.0</v>
      </c>
      <c r="B25" s="183" t="s">
        <v>95</v>
      </c>
      <c r="C25" s="152" t="str">
        <f>HYPERLINK("https://azurlane.koumakan.jp/Formidable","Formidable")</f>
        <v>Formidable</v>
      </c>
      <c r="D25" s="170" t="s">
        <v>32</v>
      </c>
      <c r="E25" s="170">
        <v>6634.0</v>
      </c>
      <c r="F25" s="170">
        <v>0.0</v>
      </c>
      <c r="G25" s="170">
        <v>0.0</v>
      </c>
      <c r="H25" s="170">
        <v>419.0</v>
      </c>
      <c r="I25" s="170">
        <v>295.0</v>
      </c>
      <c r="J25" s="170">
        <v>119.0</v>
      </c>
      <c r="K25" s="170">
        <v>53.0</v>
      </c>
      <c r="L25" s="170" t="s">
        <v>83</v>
      </c>
      <c r="M25" s="170">
        <v>30.0</v>
      </c>
      <c r="N25" s="170">
        <v>92.0</v>
      </c>
      <c r="O25" s="170">
        <v>75.0</v>
      </c>
      <c r="P25" s="170">
        <v>0.0</v>
      </c>
      <c r="Q25" s="170">
        <v>13.0</v>
      </c>
      <c r="R25" s="170">
        <v>0.0</v>
      </c>
      <c r="S25" s="170">
        <v>0.0</v>
      </c>
      <c r="T25" s="170" t="s">
        <v>104</v>
      </c>
      <c r="U25" s="328">
        <f>IFERROR(__xludf.DUMMYFUNCTION("((H25+200+REGEXMATCH(Z25,""ers"")*45+REGEXMATCH(AA25,""ers"")*45+REGEXMATCH(AB25,""ers"")*45)/100)*2* (if(ISERROR(value(left(Z25))), 0, REGEXMATCH(Z25,""Fighters"")*value(left(Z25))*10+REGEXMATCH(Z25,""Divebombers"")*value(left(Z25))*6+REGEXMATCH(Z25,""To"&amp;"rpbombers"")*value(left(Z25))*5+REGEXMATCH(Z25,""Seaplanes"")*value(left(Z25))*4)+ if(ISERROR(value(left(AA25))), 0, REGEXMATCH(AA25,""Fighters"")*value(left(AA25))*10+REGEXMATCH(AA25,""Divebombers"")*value(left(AA25))*6+REGEXMATCH(AA25,""Torpbombers"")*v"&amp;"alue(left(AA25))*5+REGEXMATCH(AA25,""Seaplanes"")*value(left(AA25))*4)+ if(ISERROR(value(left(AB25))), 0, REGEXMATCH(AB25,""Fighters"")*value(left(AB25))*10+REGEXMATCH(AB25,""Divebombers"")*value(left(AB25))*6+REGEXMATCH(AB25,""Torpbombers"")*value(left(A"&amp;"B25))*5+REGEXMATCH(AB25,""Seaplanes"")*value(left(AB25))*4))"),754.0)</f>
        <v>754</v>
      </c>
      <c r="V25" s="164" t="s">
        <v>1571</v>
      </c>
      <c r="W25" s="148" t="s">
        <v>1572</v>
      </c>
      <c r="X25" s="161" t="s">
        <v>1573</v>
      </c>
      <c r="Y25" s="149" t="s">
        <v>551</v>
      </c>
      <c r="Z25" s="147" t="s">
        <v>1529</v>
      </c>
      <c r="AA25" s="147" t="s">
        <v>1547</v>
      </c>
      <c r="AB25" s="147" t="s">
        <v>1547</v>
      </c>
      <c r="AC25" s="147" t="s">
        <v>1574</v>
      </c>
      <c r="AD25" s="147" t="s">
        <v>1530</v>
      </c>
      <c r="AE25" s="147" t="s">
        <v>1557</v>
      </c>
      <c r="AF25" s="147" t="s">
        <v>1543</v>
      </c>
    </row>
    <row r="26" ht="15.75" customHeight="1">
      <c r="A26" s="141">
        <v>148.0</v>
      </c>
      <c r="B26" s="142" t="s">
        <v>95</v>
      </c>
      <c r="C26" s="143" t="str">
        <f>HYPERLINK("https://azurlane.koumakan.jp/Glorious","Glorious")</f>
        <v>Glorious</v>
      </c>
      <c r="D26" s="142" t="s">
        <v>28</v>
      </c>
      <c r="E26" s="145">
        <v>6462.0</v>
      </c>
      <c r="F26" s="145">
        <v>0.0</v>
      </c>
      <c r="G26" s="145">
        <v>0.0</v>
      </c>
      <c r="H26" s="145">
        <v>365.0</v>
      </c>
      <c r="I26" s="145">
        <v>299.0</v>
      </c>
      <c r="J26" s="145">
        <v>110.0</v>
      </c>
      <c r="K26" s="145">
        <v>53.0</v>
      </c>
      <c r="L26" s="145" t="s">
        <v>71</v>
      </c>
      <c r="M26" s="145">
        <v>30.0</v>
      </c>
      <c r="N26" s="145">
        <v>90.0</v>
      </c>
      <c r="O26" s="145">
        <v>32.0</v>
      </c>
      <c r="P26" s="145">
        <v>0.0</v>
      </c>
      <c r="Q26" s="145">
        <v>12.0</v>
      </c>
      <c r="R26" s="145">
        <v>0.0</v>
      </c>
      <c r="S26" s="145">
        <v>0.0</v>
      </c>
      <c r="T26" s="147" t="s">
        <v>104</v>
      </c>
      <c r="U26" s="329">
        <f>IFERROR(__xludf.DUMMYFUNCTION("((H26+200+REGEXMATCH(Z26,""ers"")*45+REGEXMATCH(AA26,""ers"")*45+REGEXMATCH(AB26,""ers"")*45)/100)*2* (if(ISERROR(value(left(Z26))), 0, REGEXMATCH(Z26,""Fighters"")*value(left(Z26))*10+REGEXMATCH(Z26,""Divebombers"")*value(left(Z26))*6+REGEXMATCH(Z26,""To"&amp;"rpbombers"")*value(left(Z26))*5+REGEXMATCH(Z26,""Seaplanes"")*value(left(Z26))*4)+ if(ISERROR(value(left(AA26))), 0, REGEXMATCH(AA26,""Fighters"")*value(left(AA26))*10+REGEXMATCH(AA26,""Divebombers"")*value(left(AA26))*6+REGEXMATCH(AA26,""Torpbombers"")*v"&amp;"alue(left(AA26))*5+REGEXMATCH(AA26,""Seaplanes"")*value(left(AA26))*4)+ if(ISERROR(value(left(AB26))), 0, REGEXMATCH(AB26,""Fighters"")*value(left(AB26))*10+REGEXMATCH(AB26,""Divebombers"")*value(left(AB26))*6+REGEXMATCH(AB26,""Torpbombers"")*value(left(A"&amp;"B26))*5+REGEXMATCH(AB26,""Seaplanes"")*value(left(AB26))*4))"),700.0)</f>
        <v>700</v>
      </c>
      <c r="V26" s="148" t="s">
        <v>1528</v>
      </c>
      <c r="W26" s="161" t="s">
        <v>1336</v>
      </c>
      <c r="X26" s="149" t="s">
        <v>551</v>
      </c>
      <c r="Y26" s="149" t="s">
        <v>551</v>
      </c>
      <c r="Z26" s="147" t="s">
        <v>1510</v>
      </c>
      <c r="AA26" s="147" t="s">
        <v>1535</v>
      </c>
      <c r="AB26" s="147" t="s">
        <v>1535</v>
      </c>
      <c r="AC26" s="147" t="s">
        <v>1575</v>
      </c>
      <c r="AD26" s="147" t="s">
        <v>1559</v>
      </c>
      <c r="AE26" s="147">
        <v>0.0</v>
      </c>
      <c r="AF26" s="147" t="s">
        <v>1576</v>
      </c>
    </row>
    <row r="27" ht="15.75" customHeight="1">
      <c r="A27" s="141">
        <v>208.1</v>
      </c>
      <c r="B27" s="142" t="s">
        <v>175</v>
      </c>
      <c r="C27" s="143" t="str">
        <f>HYPERLINK("https://azurlane.koumakan.jp/Fusou#Retrofit","Fusou (R)")</f>
        <v>Fusou (R)</v>
      </c>
      <c r="D27" s="142" t="s">
        <v>28</v>
      </c>
      <c r="E27" s="158">
        <v>7431.0</v>
      </c>
      <c r="F27" s="145">
        <v>394.0</v>
      </c>
      <c r="G27" s="145">
        <v>0.0</v>
      </c>
      <c r="H27" s="145">
        <v>205.0</v>
      </c>
      <c r="I27" s="145">
        <v>309.0</v>
      </c>
      <c r="J27" s="145">
        <v>136.0</v>
      </c>
      <c r="K27" s="145">
        <v>32.0</v>
      </c>
      <c r="L27" s="145" t="s">
        <v>83</v>
      </c>
      <c r="M27" s="145">
        <v>23.0</v>
      </c>
      <c r="N27" s="145">
        <v>80.0</v>
      </c>
      <c r="O27" s="169">
        <v>13.0</v>
      </c>
      <c r="P27" s="145">
        <v>0.0</v>
      </c>
      <c r="Q27" s="145">
        <v>13.0</v>
      </c>
      <c r="R27" s="145">
        <v>0.0</v>
      </c>
      <c r="S27" s="145">
        <v>0.0</v>
      </c>
      <c r="T27" s="147" t="s">
        <v>143</v>
      </c>
      <c r="U27" s="330">
        <f>IFERROR(__xludf.DUMMYFUNCTION("((H27+200+REGEXMATCH(Z27,""ers"")*45+REGEXMATCH(AA27,""ers"")*45+REGEXMATCH(AB27,""ers"")*45)/100)*2* (if(ISERROR(value(left(Z27))), 0, REGEXMATCH(Z27,""Fighters"")*value(left(Z27))*10+REGEXMATCH(Z27,""Divebombers"")*value(left(Z27))*6+REGEXMATCH(Z27,""To"&amp;"rpbombers"")*value(left(Z27))*5+REGEXMATCH(Z27,""Seaplanes"")*value(left(Z27))*4)+ if(ISERROR(value(left(AA27))), 0, REGEXMATCH(AA27,""Fighters"")*value(left(AA27))*10+REGEXMATCH(AA27,""Divebombers"")*value(left(AA27))*6+REGEXMATCH(AA27,""Torpbombers"")*v"&amp;"alue(left(AA27))*5+REGEXMATCH(AA27,""Seaplanes"")*value(left(AA27))*4)+ if(ISERROR(value(left(AB27))), 0, REGEXMATCH(AB27,""Fighters"")*value(left(AB27))*10+REGEXMATCH(AB27,""Divebombers"")*value(left(AB27))*6+REGEXMATCH(AB27,""Torpbombers"")*value(left(A"&amp;"B27))*5+REGEXMATCH(AB27,""Seaplanes"")*value(left(AB27))*4))"),97.19999999999999)</f>
        <v>97.2</v>
      </c>
      <c r="V27" s="164" t="s">
        <v>1577</v>
      </c>
      <c r="W27" s="149" t="s">
        <v>551</v>
      </c>
      <c r="X27" s="149" t="s">
        <v>551</v>
      </c>
      <c r="Y27" s="164" t="s">
        <v>1368</v>
      </c>
      <c r="Z27" s="147" t="s">
        <v>1578</v>
      </c>
      <c r="AA27" s="147" t="s">
        <v>1579</v>
      </c>
      <c r="AB27" s="147" t="s">
        <v>11</v>
      </c>
      <c r="AC27" s="147" t="s">
        <v>1370</v>
      </c>
      <c r="AD27" s="147">
        <v>0.0</v>
      </c>
      <c r="AE27" s="147" t="s">
        <v>1580</v>
      </c>
      <c r="AF27" s="147">
        <v>0.0</v>
      </c>
    </row>
    <row r="28" ht="15.75" customHeight="1">
      <c r="A28" s="141">
        <v>209.1</v>
      </c>
      <c r="B28" s="142" t="s">
        <v>175</v>
      </c>
      <c r="C28" s="143" t="str">
        <f>HYPERLINK("https://azurlane.koumakan.jp/Yamashiro#Retrofit","Yamashiro (R)")</f>
        <v>Yamashiro (R)</v>
      </c>
      <c r="D28" s="142" t="s">
        <v>28</v>
      </c>
      <c r="E28" s="158">
        <v>7832.0</v>
      </c>
      <c r="F28" s="145">
        <v>394.0</v>
      </c>
      <c r="G28" s="145">
        <v>0.0</v>
      </c>
      <c r="H28" s="145">
        <v>205.0</v>
      </c>
      <c r="I28" s="145">
        <v>309.0</v>
      </c>
      <c r="J28" s="145">
        <v>136.0</v>
      </c>
      <c r="K28" s="145">
        <v>32.0</v>
      </c>
      <c r="L28" s="145" t="s">
        <v>83</v>
      </c>
      <c r="M28" s="145">
        <v>23.0</v>
      </c>
      <c r="N28" s="145">
        <v>80.0</v>
      </c>
      <c r="O28" s="169">
        <v>14.0</v>
      </c>
      <c r="P28" s="145">
        <v>0.0</v>
      </c>
      <c r="Q28" s="145">
        <v>13.0</v>
      </c>
      <c r="R28" s="145">
        <v>0.0</v>
      </c>
      <c r="S28" s="145">
        <v>0.0</v>
      </c>
      <c r="T28" s="147" t="s">
        <v>143</v>
      </c>
      <c r="U28" s="330">
        <f>IFERROR(__xludf.DUMMYFUNCTION("((H28+200+REGEXMATCH(Z28,""ers"")*45+REGEXMATCH(AA28,""ers"")*45+REGEXMATCH(AB28,""ers"")*45)/100)*2* (if(ISERROR(value(left(Z28))), 0, REGEXMATCH(Z28,""Fighters"")*value(left(Z28))*10+REGEXMATCH(Z28,""Divebombers"")*value(left(Z28))*6+REGEXMATCH(Z28,""To"&amp;"rpbombers"")*value(left(Z28))*5+REGEXMATCH(Z28,""Seaplanes"")*value(left(Z28))*4)+ if(ISERROR(value(left(AA28))), 0, REGEXMATCH(AA28,""Fighters"")*value(left(AA28))*10+REGEXMATCH(AA28,""Divebombers"")*value(left(AA28))*6+REGEXMATCH(AA28,""Torpbombers"")*v"&amp;"alue(left(AA28))*5+REGEXMATCH(AA28,""Seaplanes"")*value(left(AA28))*4)+ if(ISERROR(value(left(AB28))), 0, REGEXMATCH(AB28,""Fighters"")*value(left(AB28))*10+REGEXMATCH(AB28,""Divebombers"")*value(left(AB28))*6+REGEXMATCH(AB28,""Torpbombers"")*value(left(A"&amp;"B28))*5+REGEXMATCH(AB28,""Seaplanes"")*value(left(AB28))*4))"),97.19999999999999)</f>
        <v>97.2</v>
      </c>
      <c r="V28" s="164" t="s">
        <v>1577</v>
      </c>
      <c r="W28" s="149" t="s">
        <v>551</v>
      </c>
      <c r="X28" s="149" t="s">
        <v>551</v>
      </c>
      <c r="Y28" s="164" t="s">
        <v>1368</v>
      </c>
      <c r="Z28" s="147" t="s">
        <v>1578</v>
      </c>
      <c r="AA28" s="147" t="s">
        <v>1579</v>
      </c>
      <c r="AB28" s="147" t="s">
        <v>11</v>
      </c>
      <c r="AC28" s="147" t="s">
        <v>1370</v>
      </c>
      <c r="AD28" s="147">
        <v>0.0</v>
      </c>
      <c r="AE28" s="147" t="s">
        <v>1580</v>
      </c>
      <c r="AF28" s="147">
        <v>0.0</v>
      </c>
    </row>
    <row r="29" ht="15.75" customHeight="1">
      <c r="A29" s="141">
        <v>210.1</v>
      </c>
      <c r="B29" s="142" t="s">
        <v>175</v>
      </c>
      <c r="C29" s="143" t="str">
        <f>HYPERLINK("https://azurlane.koumakan.jp/Ise#Retrofit","Ise (R)")</f>
        <v>Ise (R)</v>
      </c>
      <c r="D29" s="142" t="s">
        <v>28</v>
      </c>
      <c r="E29" s="145">
        <v>7413.0</v>
      </c>
      <c r="F29" s="145">
        <v>394.0</v>
      </c>
      <c r="G29" s="145">
        <v>0.0</v>
      </c>
      <c r="H29" s="145">
        <v>278.0</v>
      </c>
      <c r="I29" s="168">
        <v>380.0</v>
      </c>
      <c r="J29" s="145">
        <v>134.0</v>
      </c>
      <c r="K29" s="145">
        <v>32.0</v>
      </c>
      <c r="L29" s="145" t="s">
        <v>83</v>
      </c>
      <c r="M29" s="145">
        <v>23.0</v>
      </c>
      <c r="N29" s="145">
        <v>89.0</v>
      </c>
      <c r="O29" s="145">
        <v>60.0</v>
      </c>
      <c r="P29" s="145">
        <v>0.0</v>
      </c>
      <c r="Q29" s="145">
        <v>13.0</v>
      </c>
      <c r="R29" s="145">
        <v>0.0</v>
      </c>
      <c r="S29" s="145">
        <v>0.0</v>
      </c>
      <c r="T29" s="147" t="s">
        <v>143</v>
      </c>
      <c r="U29" s="331">
        <f>IFERROR(__xludf.DUMMYFUNCTION("((H29+200+REGEXMATCH(Z29,""ers"")*45+REGEXMATCH(AA29,""ers"")*45+REGEXMATCH(AB29,""ers"")*45)/100)*2* (if(ISERROR(value(left(Z29))), 0, REGEXMATCH(Z29,""Fighters"")*value(left(Z29))*10+REGEXMATCH(Z29,""Divebombers"")*value(left(Z29))*6+REGEXMATCH(Z29,""To"&amp;"rpbombers"")*value(left(Z29))*5+REGEXMATCH(Z29,""Seaplanes"")*value(left(Z29))*4)+ if(ISERROR(value(left(AA29))), 0, REGEXMATCH(AA29,""Fighters"")*value(left(AA29))*10+REGEXMATCH(AA29,""Divebombers"")*value(left(AA29))*6+REGEXMATCH(AA29,""Torpbombers"")*v"&amp;"alue(left(AA29))*5+REGEXMATCH(AA29,""Seaplanes"")*value(left(AA29))*4)+ if(ISERROR(value(left(AB29))), 0, REGEXMATCH(AB29,""Fighters"")*value(left(AB29))*10+REGEXMATCH(AB29,""Divebombers"")*value(left(AB29))*6+REGEXMATCH(AB29,""Torpbombers"")*value(left(A"&amp;"B29))*5+REGEXMATCH(AB29,""Seaplanes"")*value(left(AB29))*4))"),114.72)</f>
        <v>114.72</v>
      </c>
      <c r="V29" s="164" t="s">
        <v>1577</v>
      </c>
      <c r="W29" s="149" t="s">
        <v>551</v>
      </c>
      <c r="X29" s="149" t="s">
        <v>551</v>
      </c>
      <c r="Y29" s="164" t="s">
        <v>1372</v>
      </c>
      <c r="Z29" s="147" t="s">
        <v>1578</v>
      </c>
      <c r="AA29" s="147" t="s">
        <v>1579</v>
      </c>
      <c r="AB29" s="147" t="s">
        <v>11</v>
      </c>
      <c r="AC29" s="147" t="s">
        <v>1373</v>
      </c>
      <c r="AD29" s="147">
        <v>0.0</v>
      </c>
      <c r="AE29" s="147" t="s">
        <v>1581</v>
      </c>
      <c r="AF29" s="147">
        <v>0.0</v>
      </c>
    </row>
    <row r="30" ht="15.75" customHeight="1">
      <c r="A30" s="141">
        <v>211.1</v>
      </c>
      <c r="B30" s="142" t="s">
        <v>175</v>
      </c>
      <c r="C30" s="143" t="str">
        <f>HYPERLINK("https://azurlane.koumakan.jp/Hyuuga#Retrofit","Hyuuga (R)")</f>
        <v>Hyuuga (R)</v>
      </c>
      <c r="D30" s="142" t="s">
        <v>28</v>
      </c>
      <c r="E30" s="158">
        <v>7413.0</v>
      </c>
      <c r="F30" s="145">
        <v>394.0</v>
      </c>
      <c r="G30" s="145">
        <v>0.0</v>
      </c>
      <c r="H30" s="145">
        <v>278.0</v>
      </c>
      <c r="I30" s="168">
        <v>380.0</v>
      </c>
      <c r="J30" s="145">
        <v>134.0</v>
      </c>
      <c r="K30" s="145">
        <v>32.0</v>
      </c>
      <c r="L30" s="145" t="s">
        <v>83</v>
      </c>
      <c r="M30" s="145">
        <v>23.0</v>
      </c>
      <c r="N30" s="145">
        <v>89.0</v>
      </c>
      <c r="O30" s="145">
        <v>60.0</v>
      </c>
      <c r="P30" s="145">
        <v>0.0</v>
      </c>
      <c r="Q30" s="145">
        <v>13.0</v>
      </c>
      <c r="R30" s="145">
        <v>0.0</v>
      </c>
      <c r="S30" s="145">
        <v>0.0</v>
      </c>
      <c r="T30" s="147" t="s">
        <v>143</v>
      </c>
      <c r="U30" s="331">
        <f>IFERROR(__xludf.DUMMYFUNCTION("((H30+200+REGEXMATCH(Z30,""ers"")*45+REGEXMATCH(AA30,""ers"")*45+REGEXMATCH(AB30,""ers"")*45)/100)*2* (if(ISERROR(value(left(Z30))), 0, REGEXMATCH(Z30,""Fighters"")*value(left(Z30))*10+REGEXMATCH(Z30,""Divebombers"")*value(left(Z30))*6+REGEXMATCH(Z30,""To"&amp;"rpbombers"")*value(left(Z30))*5+REGEXMATCH(Z30,""Seaplanes"")*value(left(Z30))*4)+ if(ISERROR(value(left(AA30))), 0, REGEXMATCH(AA30,""Fighters"")*value(left(AA30))*10+REGEXMATCH(AA30,""Divebombers"")*value(left(AA30))*6+REGEXMATCH(AA30,""Torpbombers"")*v"&amp;"alue(left(AA30))*5+REGEXMATCH(AA30,""Seaplanes"")*value(left(AA30))*4)+ if(ISERROR(value(left(AB30))), 0, REGEXMATCH(AB30,""Fighters"")*value(left(AB30))*10+REGEXMATCH(AB30,""Divebombers"")*value(left(AB30))*6+REGEXMATCH(AB30,""Torpbombers"")*value(left(A"&amp;"B30))*5+REGEXMATCH(AB30,""Seaplanes"")*value(left(AB30))*4))"),114.72)</f>
        <v>114.72</v>
      </c>
      <c r="V30" s="164" t="s">
        <v>1577</v>
      </c>
      <c r="W30" s="148" t="s">
        <v>1374</v>
      </c>
      <c r="X30" s="149" t="s">
        <v>551</v>
      </c>
      <c r="Y30" s="164" t="s">
        <v>1376</v>
      </c>
      <c r="Z30" s="147" t="s">
        <v>1578</v>
      </c>
      <c r="AA30" s="147" t="s">
        <v>1579</v>
      </c>
      <c r="AB30" s="147" t="s">
        <v>11</v>
      </c>
      <c r="AC30" s="147" t="s">
        <v>1377</v>
      </c>
      <c r="AD30" s="147">
        <v>0.0</v>
      </c>
      <c r="AE30" s="147" t="s">
        <v>1580</v>
      </c>
      <c r="AF30" s="147">
        <v>0.0</v>
      </c>
    </row>
    <row r="31" ht="15.75" customHeight="1">
      <c r="A31" s="141">
        <v>218.0</v>
      </c>
      <c r="B31" s="142" t="s">
        <v>91</v>
      </c>
      <c r="C31" s="143" t="str">
        <f>HYPERLINK("https://azurlane.koumakan.jp/Hiyou","Hiyou")</f>
        <v>Hiyou</v>
      </c>
      <c r="D31" s="142" t="s">
        <v>36</v>
      </c>
      <c r="E31" s="145">
        <v>5328.0</v>
      </c>
      <c r="F31" s="145">
        <v>0.0</v>
      </c>
      <c r="G31" s="145">
        <v>0.0</v>
      </c>
      <c r="H31" s="145">
        <v>283.0</v>
      </c>
      <c r="I31" s="145">
        <v>252.0</v>
      </c>
      <c r="J31" s="145">
        <v>160.0</v>
      </c>
      <c r="K31" s="145">
        <v>70.0</v>
      </c>
      <c r="L31" s="145" t="s">
        <v>71</v>
      </c>
      <c r="M31" s="145">
        <v>25.0</v>
      </c>
      <c r="N31" s="145">
        <v>80.0</v>
      </c>
      <c r="O31" s="145">
        <v>43.0</v>
      </c>
      <c r="P31" s="145">
        <v>82.0</v>
      </c>
      <c r="Q31" s="145">
        <v>11.0</v>
      </c>
      <c r="R31" s="145">
        <v>0.0</v>
      </c>
      <c r="S31" s="145">
        <v>0.0</v>
      </c>
      <c r="T31" s="147" t="s">
        <v>143</v>
      </c>
      <c r="U31" s="332">
        <f>IFERROR(__xludf.DUMMYFUNCTION("((H31+200+REGEXMATCH(Z31,""ers"")*45+REGEXMATCH(AA31,""ers"")*45+REGEXMATCH(AB31,""ers"")*45)/100)*2* (if(ISERROR(value(left(Z31))), 0, REGEXMATCH(Z31,""Fighters"")*value(left(Z31))*10+REGEXMATCH(Z31,""Divebombers"")*value(left(Z31))*6+REGEXMATCH(Z31,""To"&amp;"rpbombers"")*value(left(Z31))*5+REGEXMATCH(Z31,""Seaplanes"")*value(left(Z31))*4)+ if(ISERROR(value(left(AA31))), 0, REGEXMATCH(AA31,""Fighters"")*value(left(AA31))*10+REGEXMATCH(AA31,""Divebombers"")*value(left(AA31))*6+REGEXMATCH(AA31,""Torpbombers"")*v"&amp;"alue(left(AA31))*5+REGEXMATCH(AA31,""Seaplanes"")*value(left(AA31))*4)+ if(ISERROR(value(left(AB31))), 0, REGEXMATCH(AB31,""Fighters"")*value(left(AB31))*10+REGEXMATCH(AB31,""Divebombers"")*value(left(AB31))*6+REGEXMATCH(AB31,""Torpbombers"")*value(left(A"&amp;"B31))*5+REGEXMATCH(AB31,""Seaplanes"")*value(left(AB31))*4))"),593.28)</f>
        <v>593.28</v>
      </c>
      <c r="V31" s="164" t="s">
        <v>1582</v>
      </c>
      <c r="W31" s="149" t="s">
        <v>551</v>
      </c>
      <c r="X31" s="149" t="s">
        <v>551</v>
      </c>
      <c r="Y31" s="149" t="s">
        <v>551</v>
      </c>
      <c r="Z31" s="147" t="s">
        <v>1529</v>
      </c>
      <c r="AA31" s="147" t="s">
        <v>1511</v>
      </c>
      <c r="AB31" s="147" t="s">
        <v>1535</v>
      </c>
      <c r="AC31" s="147" t="s">
        <v>1583</v>
      </c>
      <c r="AD31" s="147" t="s">
        <v>1537</v>
      </c>
      <c r="AE31" s="147" t="s">
        <v>1584</v>
      </c>
      <c r="AF31" s="147" t="s">
        <v>1530</v>
      </c>
    </row>
    <row r="32" ht="15.75" customHeight="1">
      <c r="A32" s="141">
        <v>219.0</v>
      </c>
      <c r="B32" s="142" t="s">
        <v>91</v>
      </c>
      <c r="C32" s="143" t="str">
        <f>HYPERLINK("https://azurlane.koumakan.jp/Junyou","Junyou")</f>
        <v>Junyou</v>
      </c>
      <c r="D32" s="142" t="s">
        <v>36</v>
      </c>
      <c r="E32" s="145">
        <v>5328.0</v>
      </c>
      <c r="F32" s="145">
        <v>0.0</v>
      </c>
      <c r="G32" s="145">
        <v>0.0</v>
      </c>
      <c r="H32" s="145">
        <v>283.0</v>
      </c>
      <c r="I32" s="145">
        <v>252.0</v>
      </c>
      <c r="J32" s="145">
        <v>160.0</v>
      </c>
      <c r="K32" s="145">
        <v>70.0</v>
      </c>
      <c r="L32" s="145" t="s">
        <v>71</v>
      </c>
      <c r="M32" s="145">
        <v>25.0</v>
      </c>
      <c r="N32" s="145">
        <v>80.0</v>
      </c>
      <c r="O32" s="145">
        <v>80.0</v>
      </c>
      <c r="P32" s="145">
        <v>80.0</v>
      </c>
      <c r="Q32" s="145">
        <v>11.0</v>
      </c>
      <c r="R32" s="145">
        <v>0.0</v>
      </c>
      <c r="S32" s="145">
        <v>0.0</v>
      </c>
      <c r="T32" s="147" t="s">
        <v>143</v>
      </c>
      <c r="U32" s="332">
        <f>IFERROR(__xludf.DUMMYFUNCTION("((H32+200+REGEXMATCH(Z32,""ers"")*45+REGEXMATCH(AA32,""ers"")*45+REGEXMATCH(AB32,""ers"")*45)/100)*2* (if(ISERROR(value(left(Z32))), 0, REGEXMATCH(Z32,""Fighters"")*value(left(Z32))*10+REGEXMATCH(Z32,""Divebombers"")*value(left(Z32))*6+REGEXMATCH(Z32,""To"&amp;"rpbombers"")*value(left(Z32))*5+REGEXMATCH(Z32,""Seaplanes"")*value(left(Z32))*4)+ if(ISERROR(value(left(AA32))), 0, REGEXMATCH(AA32,""Fighters"")*value(left(AA32))*10+REGEXMATCH(AA32,""Divebombers"")*value(left(AA32))*6+REGEXMATCH(AA32,""Torpbombers"")*v"&amp;"alue(left(AA32))*5+REGEXMATCH(AA32,""Seaplanes"")*value(left(AA32))*4)+ if(ISERROR(value(left(AB32))), 0, REGEXMATCH(AB32,""Fighters"")*value(left(AB32))*10+REGEXMATCH(AB32,""Divebombers"")*value(left(AB32))*6+REGEXMATCH(AB32,""Torpbombers"")*value(left(A"&amp;"B32))*5+REGEXMATCH(AB32,""Seaplanes"")*value(left(AB32))*4))"),593.28)</f>
        <v>593.28</v>
      </c>
      <c r="V32" s="164" t="s">
        <v>1582</v>
      </c>
      <c r="W32" s="149" t="s">
        <v>551</v>
      </c>
      <c r="X32" s="149" t="s">
        <v>551</v>
      </c>
      <c r="Y32" s="149" t="s">
        <v>551</v>
      </c>
      <c r="Z32" s="147" t="s">
        <v>1529</v>
      </c>
      <c r="AA32" s="147" t="s">
        <v>1511</v>
      </c>
      <c r="AB32" s="147" t="s">
        <v>1535</v>
      </c>
      <c r="AC32" s="147" t="s">
        <v>1583</v>
      </c>
      <c r="AD32" s="147" t="s">
        <v>1537</v>
      </c>
      <c r="AE32" s="147" t="s">
        <v>1584</v>
      </c>
      <c r="AF32" s="147" t="s">
        <v>1530</v>
      </c>
    </row>
    <row r="33" ht="15.75" customHeight="1">
      <c r="A33" s="141">
        <v>220.0</v>
      </c>
      <c r="B33" s="142" t="s">
        <v>91</v>
      </c>
      <c r="C33" s="143" t="str">
        <f>HYPERLINK("https://azurlane.koumakan.jp/Houshou","Houshou")</f>
        <v>Houshou</v>
      </c>
      <c r="D33" s="142" t="s">
        <v>28</v>
      </c>
      <c r="E33" s="145">
        <v>3708.0</v>
      </c>
      <c r="F33" s="145">
        <v>0.0</v>
      </c>
      <c r="G33" s="145">
        <v>0.0</v>
      </c>
      <c r="H33" s="145">
        <v>290.0</v>
      </c>
      <c r="I33" s="145">
        <v>263.0</v>
      </c>
      <c r="J33" s="145">
        <v>178.0</v>
      </c>
      <c r="K33" s="145">
        <v>69.0</v>
      </c>
      <c r="L33" s="145" t="s">
        <v>71</v>
      </c>
      <c r="M33" s="145">
        <v>25.0</v>
      </c>
      <c r="N33" s="145">
        <v>83.0</v>
      </c>
      <c r="O33" s="145">
        <v>79.0</v>
      </c>
      <c r="P33" s="145">
        <v>94.0</v>
      </c>
      <c r="Q33" s="145">
        <v>11.0</v>
      </c>
      <c r="R33" s="145">
        <v>0.0</v>
      </c>
      <c r="S33" s="145">
        <v>0.0</v>
      </c>
      <c r="T33" s="147" t="s">
        <v>143</v>
      </c>
      <c r="U33" s="333">
        <f>IFERROR(__xludf.DUMMYFUNCTION("((H33+200+REGEXMATCH(Z33,""ers"")*45+REGEXMATCH(AA33,""ers"")*45+REGEXMATCH(AB33,""ers"")*45)/100)*2* (if(ISERROR(value(left(Z33))), 0, REGEXMATCH(Z33,""Fighters"")*value(left(Z33))*10+REGEXMATCH(Z33,""Divebombers"")*value(left(Z33))*6+REGEXMATCH(Z33,""To"&amp;"rpbombers"")*value(left(Z33))*5+REGEXMATCH(Z33,""Seaplanes"")*value(left(Z33))*4)+ if(ISERROR(value(left(AA33))), 0, REGEXMATCH(AA33,""Fighters"")*value(left(AA33))*10+REGEXMATCH(AA33,""Divebombers"")*value(left(AA33))*6+REGEXMATCH(AA33,""Torpbombers"")*v"&amp;"alue(left(AA33))*5+REGEXMATCH(AA33,""Seaplanes"")*value(left(AA33))*4)+ if(ISERROR(value(left(AB33))), 0, REGEXMATCH(AB33,""Fighters"")*value(left(AB33))*10+REGEXMATCH(AB33,""Divebombers"")*value(left(AB33))*6+REGEXMATCH(AB33,""Torpbombers"")*value(left(A"&amp;"B33))*5+REGEXMATCH(AB33,""Seaplanes"")*value(left(AB33))*4))"),522.0)</f>
        <v>522</v>
      </c>
      <c r="V33" s="148" t="s">
        <v>1519</v>
      </c>
      <c r="W33" s="148" t="s">
        <v>1514</v>
      </c>
      <c r="X33" s="149" t="s">
        <v>551</v>
      </c>
      <c r="Y33" s="149" t="s">
        <v>551</v>
      </c>
      <c r="Z33" s="147" t="s">
        <v>1585</v>
      </c>
      <c r="AA33" s="147" t="s">
        <v>1510</v>
      </c>
      <c r="AB33" s="147" t="s">
        <v>1547</v>
      </c>
      <c r="AC33" s="147" t="s">
        <v>1536</v>
      </c>
      <c r="AD33" s="147" t="s">
        <v>1513</v>
      </c>
      <c r="AE33" s="147">
        <v>0.0</v>
      </c>
      <c r="AF33" s="147" t="s">
        <v>1513</v>
      </c>
    </row>
    <row r="34" ht="15.75" customHeight="1">
      <c r="A34" s="141">
        <v>222.0</v>
      </c>
      <c r="B34" s="142" t="s">
        <v>91</v>
      </c>
      <c r="C34" s="143" t="str">
        <f>HYPERLINK("https://azurlane.koumakan.jp/Shouhou","Shouhou")</f>
        <v>Shouhou</v>
      </c>
      <c r="D34" s="142" t="s">
        <v>36</v>
      </c>
      <c r="E34" s="145">
        <v>4385.0</v>
      </c>
      <c r="F34" s="145">
        <v>0.0</v>
      </c>
      <c r="G34" s="145">
        <v>0.0</v>
      </c>
      <c r="H34" s="145">
        <v>283.0</v>
      </c>
      <c r="I34" s="145">
        <v>253.0</v>
      </c>
      <c r="J34" s="145">
        <v>180.0</v>
      </c>
      <c r="K34" s="145">
        <v>72.0</v>
      </c>
      <c r="L34" s="145" t="s">
        <v>71</v>
      </c>
      <c r="M34" s="145">
        <v>28.0</v>
      </c>
      <c r="N34" s="145">
        <v>80.0</v>
      </c>
      <c r="O34" s="145">
        <v>24.0</v>
      </c>
      <c r="P34" s="145">
        <v>85.0</v>
      </c>
      <c r="Q34" s="145">
        <v>10.0</v>
      </c>
      <c r="R34" s="145">
        <v>0.0</v>
      </c>
      <c r="S34" s="145">
        <v>0.0</v>
      </c>
      <c r="T34" s="147" t="s">
        <v>143</v>
      </c>
      <c r="U34" s="334">
        <f>IFERROR(__xludf.DUMMYFUNCTION("((H34+200+REGEXMATCH(Z34,""ers"")*45+REGEXMATCH(AA34,""ers"")*45+REGEXMATCH(AB34,""ers"")*45)/100)*2* (if(ISERROR(value(left(Z34))), 0, REGEXMATCH(Z34,""Fighters"")*value(left(Z34))*10+REGEXMATCH(Z34,""Divebombers"")*value(left(Z34))*6+REGEXMATCH(Z34,""To"&amp;"rpbombers"")*value(left(Z34))*5+REGEXMATCH(Z34,""Seaplanes"")*value(left(Z34))*4)+ if(ISERROR(value(left(AA34))), 0, REGEXMATCH(AA34,""Fighters"")*value(left(AA34))*10+REGEXMATCH(AA34,""Divebombers"")*value(left(AA34))*6+REGEXMATCH(AA34,""Torpbombers"")*v"&amp;"alue(left(AA34))*5+REGEXMATCH(AA34,""Seaplanes"")*value(left(AA34))*4)+ if(ISERROR(value(left(AB34))), 0, REGEXMATCH(AB34,""Fighters"")*value(left(AB34))*10+REGEXMATCH(AB34,""Divebombers"")*value(left(AB34))*6+REGEXMATCH(AB34,""Torpbombers"")*value(left(A"&amp;"B34))*5+REGEXMATCH(AB34,""Seaplanes"")*value(left(AB34))*4))"),378.18)</f>
        <v>378.18</v>
      </c>
      <c r="V34" s="148" t="s">
        <v>1550</v>
      </c>
      <c r="W34" s="149" t="s">
        <v>551</v>
      </c>
      <c r="X34" s="149" t="s">
        <v>551</v>
      </c>
      <c r="Y34" s="149" t="s">
        <v>551</v>
      </c>
      <c r="Z34" s="147" t="s">
        <v>1511</v>
      </c>
      <c r="AA34" s="147" t="s">
        <v>1547</v>
      </c>
      <c r="AB34" s="147" t="s">
        <v>11</v>
      </c>
      <c r="AC34" s="147" t="s">
        <v>1512</v>
      </c>
      <c r="AD34" s="147">
        <v>0.0</v>
      </c>
      <c r="AE34" s="147" t="s">
        <v>1513</v>
      </c>
      <c r="AF34" s="147" t="s">
        <v>1513</v>
      </c>
    </row>
    <row r="35" ht="15.75" customHeight="1">
      <c r="A35" s="141">
        <v>222.1</v>
      </c>
      <c r="B35" s="142" t="s">
        <v>91</v>
      </c>
      <c r="C35" s="143" t="str">
        <f>HYPERLINK("https://azurlane.koumakan.jp/Shouhou#Retrofit","Shouhou (R)")</f>
        <v>Shouhou (R)</v>
      </c>
      <c r="D35" s="142" t="s">
        <v>28</v>
      </c>
      <c r="E35" s="158">
        <v>4625.0</v>
      </c>
      <c r="F35" s="145">
        <v>0.0</v>
      </c>
      <c r="G35" s="145">
        <v>0.0</v>
      </c>
      <c r="H35" s="145">
        <v>343.0</v>
      </c>
      <c r="I35" s="145">
        <v>288.0</v>
      </c>
      <c r="J35" s="145">
        <v>185.0</v>
      </c>
      <c r="K35" s="145">
        <v>72.0</v>
      </c>
      <c r="L35" s="145" t="s">
        <v>71</v>
      </c>
      <c r="M35" s="145">
        <v>28.0</v>
      </c>
      <c r="N35" s="145">
        <v>80.0</v>
      </c>
      <c r="O35" s="169">
        <v>24.0</v>
      </c>
      <c r="P35" s="145">
        <v>85.0</v>
      </c>
      <c r="Q35" s="145">
        <v>10.0</v>
      </c>
      <c r="R35" s="145">
        <v>0.0</v>
      </c>
      <c r="S35" s="145">
        <v>0.0</v>
      </c>
      <c r="T35" s="147" t="s">
        <v>143</v>
      </c>
      <c r="U35" s="335">
        <f>IFERROR(__xludf.DUMMYFUNCTION("((H35+200+REGEXMATCH(Z35,""ers"")*45+REGEXMATCH(AA35,""ers"")*45+REGEXMATCH(AB35,""ers"")*45)/100)*2* (if(ISERROR(value(left(Z35))), 0, REGEXMATCH(Z35,""Fighters"")*value(left(Z35))*10+REGEXMATCH(Z35,""Divebombers"")*value(left(Z35))*6+REGEXMATCH(Z35,""To"&amp;"rpbombers"")*value(left(Z35))*5+REGEXMATCH(Z35,""Seaplanes"")*value(left(Z35))*4)+ if(ISERROR(value(left(AA35))), 0, REGEXMATCH(AA35,""Fighters"")*value(left(AA35))*10+REGEXMATCH(AA35,""Divebombers"")*value(left(AA35))*6+REGEXMATCH(AA35,""Torpbombers"")*v"&amp;"alue(left(AA35))*5+REGEXMATCH(AA35,""Seaplanes"")*value(left(AA35))*4)+ if(ISERROR(value(left(AB35))), 0, REGEXMATCH(AB35,""Fighters"")*value(left(AB35))*10+REGEXMATCH(AB35,""Divebombers"")*value(left(AB35))*6+REGEXMATCH(AB35,""Torpbombers"")*value(left(A"&amp;"B35))*5+REGEXMATCH(AB35,""Seaplanes"")*value(left(AB35))*4))"),417.78000000000003)</f>
        <v>417.78</v>
      </c>
      <c r="V35" s="148" t="s">
        <v>1550</v>
      </c>
      <c r="W35" s="149" t="s">
        <v>551</v>
      </c>
      <c r="X35" s="149" t="s">
        <v>551</v>
      </c>
      <c r="Y35" s="148" t="s">
        <v>1514</v>
      </c>
      <c r="Z35" s="147" t="s">
        <v>1511</v>
      </c>
      <c r="AA35" s="147" t="s">
        <v>1547</v>
      </c>
      <c r="AB35" s="147" t="s">
        <v>11</v>
      </c>
      <c r="AC35" s="147" t="s">
        <v>1586</v>
      </c>
      <c r="AD35" s="147">
        <v>0.0</v>
      </c>
      <c r="AE35" s="147" t="s">
        <v>1516</v>
      </c>
      <c r="AF35" s="147" t="s">
        <v>1557</v>
      </c>
    </row>
    <row r="36" ht="15.75" customHeight="1">
      <c r="A36" s="141">
        <v>223.0</v>
      </c>
      <c r="B36" s="142" t="s">
        <v>91</v>
      </c>
      <c r="C36" s="143" t="str">
        <f>HYPERLINK("https://azurlane.koumakan.jp/Ryuujou","Ryuujou")</f>
        <v>Ryuujou</v>
      </c>
      <c r="D36" s="142" t="s">
        <v>28</v>
      </c>
      <c r="E36" s="145">
        <v>4381.0</v>
      </c>
      <c r="F36" s="145">
        <v>0.0</v>
      </c>
      <c r="G36" s="145">
        <v>0.0</v>
      </c>
      <c r="H36" s="145">
        <v>352.0</v>
      </c>
      <c r="I36" s="145">
        <v>257.0</v>
      </c>
      <c r="J36" s="145">
        <v>181.0</v>
      </c>
      <c r="K36" s="145">
        <v>85.0</v>
      </c>
      <c r="L36" s="145" t="s">
        <v>71</v>
      </c>
      <c r="M36" s="145">
        <v>28.0</v>
      </c>
      <c r="N36" s="145">
        <v>92.0</v>
      </c>
      <c r="O36" s="145">
        <v>42.0</v>
      </c>
      <c r="P36" s="145">
        <v>73.0</v>
      </c>
      <c r="Q36" s="145">
        <v>11.0</v>
      </c>
      <c r="R36" s="145">
        <v>0.0</v>
      </c>
      <c r="S36" s="145">
        <v>0.0</v>
      </c>
      <c r="T36" s="147" t="s">
        <v>143</v>
      </c>
      <c r="U36" s="336">
        <f>IFERROR(__xludf.DUMMYFUNCTION("((H36+200+REGEXMATCH(Z36,""ers"")*45+REGEXMATCH(AA36,""ers"")*45+REGEXMATCH(AB36,""ers"")*45)/100)*2* (if(ISERROR(value(left(Z36))), 0, REGEXMATCH(Z36,""Fighters"")*value(left(Z36))*10+REGEXMATCH(Z36,""Divebombers"")*value(left(Z36))*6+REGEXMATCH(Z36,""To"&amp;"rpbombers"")*value(left(Z36))*5+REGEXMATCH(Z36,""Seaplanes"")*value(left(Z36))*4)+ if(ISERROR(value(left(AA36))), 0, REGEXMATCH(AA36,""Fighters"")*value(left(AA36))*10+REGEXMATCH(AA36,""Divebombers"")*value(left(AA36))*6+REGEXMATCH(AA36,""Torpbombers"")*v"&amp;"alue(left(AA36))*5+REGEXMATCH(AA36,""Seaplanes"")*value(left(AA36))*4)+ if(ISERROR(value(left(AB36))), 0, REGEXMATCH(AB36,""Fighters"")*value(left(AB36))*10+REGEXMATCH(AB36,""Divebombers"")*value(left(AB36))*6+REGEXMATCH(AB36,""Torpbombers"")*value(left(A"&amp;"B36))*5+REGEXMATCH(AB36,""Seaplanes"")*value(left(AB36))*4))"),577.8)</f>
        <v>577.8</v>
      </c>
      <c r="V36" s="164" t="s">
        <v>1587</v>
      </c>
      <c r="W36" s="164" t="s">
        <v>1588</v>
      </c>
      <c r="X36" s="149" t="s">
        <v>551</v>
      </c>
      <c r="Y36" s="149" t="s">
        <v>551</v>
      </c>
      <c r="Z36" s="147" t="s">
        <v>1510</v>
      </c>
      <c r="AA36" s="147" t="s">
        <v>1547</v>
      </c>
      <c r="AB36" s="147" t="s">
        <v>11</v>
      </c>
      <c r="AC36" s="147" t="s">
        <v>1589</v>
      </c>
      <c r="AD36" s="147" t="s">
        <v>1513</v>
      </c>
      <c r="AE36" s="147">
        <v>0.0</v>
      </c>
      <c r="AF36" s="147" t="s">
        <v>1516</v>
      </c>
    </row>
    <row r="37" ht="15.75" customHeight="1">
      <c r="A37" s="141">
        <v>224.0</v>
      </c>
      <c r="B37" s="142" t="s">
        <v>95</v>
      </c>
      <c r="C37" s="143" t="str">
        <f>HYPERLINK("https://azurlane.koumakan.jp/Akagi","Akagi")</f>
        <v>Akagi</v>
      </c>
      <c r="D37" s="142" t="s">
        <v>32</v>
      </c>
      <c r="E37" s="145">
        <v>6741.0</v>
      </c>
      <c r="F37" s="145">
        <v>0.0</v>
      </c>
      <c r="G37" s="145">
        <v>0.0</v>
      </c>
      <c r="H37" s="145">
        <v>415.0</v>
      </c>
      <c r="I37" s="145">
        <v>339.0</v>
      </c>
      <c r="J37" s="145">
        <v>132.0</v>
      </c>
      <c r="K37" s="145">
        <v>56.0</v>
      </c>
      <c r="L37" s="145" t="s">
        <v>71</v>
      </c>
      <c r="M37" s="145">
        <v>31.0</v>
      </c>
      <c r="N37" s="145">
        <v>92.0</v>
      </c>
      <c r="O37" s="145">
        <v>42.0</v>
      </c>
      <c r="P37" s="145">
        <v>0.0</v>
      </c>
      <c r="Q37" s="145">
        <v>13.0</v>
      </c>
      <c r="R37" s="145">
        <v>0.0</v>
      </c>
      <c r="S37" s="145">
        <v>0.0</v>
      </c>
      <c r="T37" s="147" t="s">
        <v>143</v>
      </c>
      <c r="U37" s="337">
        <f>IFERROR(__xludf.DUMMYFUNCTION("((H37+200+REGEXMATCH(Z37,""ers"")*45+REGEXMATCH(AA37,""ers"")*45+REGEXMATCH(AB37,""ers"")*45)/100)*2* (if(ISERROR(value(left(Z37))), 0, REGEXMATCH(Z37,""Fighters"")*value(left(Z37))*10+REGEXMATCH(Z37,""Divebombers"")*value(left(Z37))*6+REGEXMATCH(Z37,""To"&amp;"rpbombers"")*value(left(Z37))*5+REGEXMATCH(Z37,""Seaplanes"")*value(left(Z37))*4)+ if(ISERROR(value(left(AA37))), 0, REGEXMATCH(AA37,""Fighters"")*value(left(AA37))*10+REGEXMATCH(AA37,""Divebombers"")*value(left(AA37))*6+REGEXMATCH(AA37,""Torpbombers"")*v"&amp;"alue(left(AA37))*5+REGEXMATCH(AA37,""Seaplanes"")*value(left(AA37))*4)+ if(ISERROR(value(left(AB37))), 0, REGEXMATCH(AB37,""Fighters"")*value(left(AB37))*10+REGEXMATCH(AB37,""Divebombers"")*value(left(AB37))*6+REGEXMATCH(AB37,""Torpbombers"")*value(left(A"&amp;"B37))*5+REGEXMATCH(AB37,""Seaplanes"")*value(left(AB37))*4))"),855.0)</f>
        <v>855</v>
      </c>
      <c r="V37" s="164" t="s">
        <v>1590</v>
      </c>
      <c r="W37" s="148" t="s">
        <v>1591</v>
      </c>
      <c r="X37" s="149" t="s">
        <v>551</v>
      </c>
      <c r="Y37" s="149" t="s">
        <v>551</v>
      </c>
      <c r="Z37" s="147" t="s">
        <v>1510</v>
      </c>
      <c r="AA37" s="147" t="s">
        <v>1520</v>
      </c>
      <c r="AB37" s="147" t="s">
        <v>1547</v>
      </c>
      <c r="AC37" s="147" t="s">
        <v>1542</v>
      </c>
      <c r="AD37" s="147" t="s">
        <v>1543</v>
      </c>
      <c r="AE37" s="147" t="s">
        <v>1533</v>
      </c>
      <c r="AF37" s="147" t="s">
        <v>1543</v>
      </c>
    </row>
    <row r="38" ht="15.75" customHeight="1">
      <c r="A38" s="141">
        <v>225.0</v>
      </c>
      <c r="B38" s="142" t="s">
        <v>95</v>
      </c>
      <c r="C38" s="143" t="str">
        <f>HYPERLINK("https://azurlane.koumakan.jp/Kaga","Kaga")</f>
        <v>Kaga</v>
      </c>
      <c r="D38" s="142" t="s">
        <v>32</v>
      </c>
      <c r="E38" s="145">
        <v>6928.0</v>
      </c>
      <c r="F38" s="145">
        <v>0.0</v>
      </c>
      <c r="G38" s="145">
        <v>0.0</v>
      </c>
      <c r="H38" s="145">
        <v>413.0</v>
      </c>
      <c r="I38" s="145">
        <v>339.0</v>
      </c>
      <c r="J38" s="145">
        <v>132.0</v>
      </c>
      <c r="K38" s="145">
        <v>50.0</v>
      </c>
      <c r="L38" s="145" t="s">
        <v>71</v>
      </c>
      <c r="M38" s="145">
        <v>28.0</v>
      </c>
      <c r="N38" s="145">
        <v>92.0</v>
      </c>
      <c r="O38" s="145">
        <v>42.0</v>
      </c>
      <c r="P38" s="145">
        <v>0.0</v>
      </c>
      <c r="Q38" s="145">
        <v>13.0</v>
      </c>
      <c r="R38" s="145">
        <v>0.0</v>
      </c>
      <c r="S38" s="145">
        <v>0.0</v>
      </c>
      <c r="T38" s="147" t="s">
        <v>143</v>
      </c>
      <c r="U38" s="310">
        <f>IFERROR(__xludf.DUMMYFUNCTION("((H38+200+REGEXMATCH(Z38,""ers"")*45+REGEXMATCH(AA38,""ers"")*45+REGEXMATCH(AB38,""ers"")*45)/100)*2* (if(ISERROR(value(left(Z38))), 0, REGEXMATCH(Z38,""Fighters"")*value(left(Z38))*10+REGEXMATCH(Z38,""Divebombers"")*value(left(Z38))*6+REGEXMATCH(Z38,""To"&amp;"rpbombers"")*value(left(Z38))*5+REGEXMATCH(Z38,""Seaplanes"")*value(left(Z38))*4)+ if(ISERROR(value(left(AA38))), 0, REGEXMATCH(AA38,""Fighters"")*value(left(AA38))*10+REGEXMATCH(AA38,""Divebombers"")*value(left(AA38))*6+REGEXMATCH(AA38,""Torpbombers"")*v"&amp;"alue(left(AA38))*5+REGEXMATCH(AA38,""Seaplanes"")*value(left(AA38))*4)+ if(ISERROR(value(left(AB38))), 0, REGEXMATCH(AB38,""Fighters"")*value(left(AB38))*10+REGEXMATCH(AB38,""Divebombers"")*value(left(AB38))*6+REGEXMATCH(AB38,""Torpbombers"")*value(left(A"&amp;"B38))*5+REGEXMATCH(AB38,""Seaplanes"")*value(left(AB38))*4))"),852.72)</f>
        <v>852.72</v>
      </c>
      <c r="V38" s="164" t="s">
        <v>1590</v>
      </c>
      <c r="W38" s="148" t="s">
        <v>1591</v>
      </c>
      <c r="X38" s="149" t="s">
        <v>551</v>
      </c>
      <c r="Y38" s="149" t="s">
        <v>551</v>
      </c>
      <c r="Z38" s="147" t="s">
        <v>1510</v>
      </c>
      <c r="AA38" s="147" t="s">
        <v>1520</v>
      </c>
      <c r="AB38" s="147" t="s">
        <v>1547</v>
      </c>
      <c r="AC38" s="147" t="s">
        <v>1592</v>
      </c>
      <c r="AD38" s="147" t="s">
        <v>1584</v>
      </c>
      <c r="AE38" s="147" t="s">
        <v>1569</v>
      </c>
      <c r="AF38" s="147" t="s">
        <v>1593</v>
      </c>
    </row>
    <row r="39" ht="15.75" customHeight="1">
      <c r="A39" s="141">
        <v>226.0</v>
      </c>
      <c r="B39" s="142" t="s">
        <v>95</v>
      </c>
      <c r="C39" s="143" t="str">
        <f>HYPERLINK("https://azurlane.koumakan.jp/Souryuu","Souryuu")</f>
        <v>Souryuu</v>
      </c>
      <c r="D39" s="142" t="s">
        <v>28</v>
      </c>
      <c r="E39" s="145">
        <v>5370.0</v>
      </c>
      <c r="F39" s="145">
        <v>0.0</v>
      </c>
      <c r="G39" s="145">
        <v>0.0</v>
      </c>
      <c r="H39" s="145">
        <v>395.0</v>
      </c>
      <c r="I39" s="145">
        <v>319.0</v>
      </c>
      <c r="J39" s="145">
        <v>123.0</v>
      </c>
      <c r="K39" s="145">
        <v>58.0</v>
      </c>
      <c r="L39" s="145" t="s">
        <v>71</v>
      </c>
      <c r="M39" s="145">
        <v>34.0</v>
      </c>
      <c r="N39" s="145">
        <v>87.0</v>
      </c>
      <c r="O39" s="145">
        <v>36.0</v>
      </c>
      <c r="P39" s="145">
        <v>0.0</v>
      </c>
      <c r="Q39" s="145">
        <v>12.0</v>
      </c>
      <c r="R39" s="145">
        <v>0.0</v>
      </c>
      <c r="S39" s="145">
        <v>0.0</v>
      </c>
      <c r="T39" s="147" t="s">
        <v>143</v>
      </c>
      <c r="U39" s="338">
        <f>IFERROR(__xludf.DUMMYFUNCTION("((H39+200+REGEXMATCH(Z39,""ers"")*45+REGEXMATCH(AA39,""ers"")*45+REGEXMATCH(AB39,""ers"")*45)/100)*2* (if(ISERROR(value(left(Z39))), 0, REGEXMATCH(Z39,""Fighters"")*value(left(Z39))*10+REGEXMATCH(Z39,""Divebombers"")*value(left(Z39))*6+REGEXMATCH(Z39,""To"&amp;"rpbombers"")*value(left(Z39))*5+REGEXMATCH(Z39,""Seaplanes"")*value(left(Z39))*4)+ if(ISERROR(value(left(AA39))), 0, REGEXMATCH(AA39,""Fighters"")*value(left(AA39))*10+REGEXMATCH(AA39,""Divebombers"")*value(left(AA39))*6+REGEXMATCH(AA39,""Torpbombers"")*v"&amp;"alue(left(AA39))*5+REGEXMATCH(AA39,""Seaplanes"")*value(left(AA39))*4)+ if(ISERROR(value(left(AB39))), 0, REGEXMATCH(AB39,""Fighters"")*value(left(AB39))*10+REGEXMATCH(AB39,""Divebombers"")*value(left(AB39))*6+REGEXMATCH(AB39,""Torpbombers"")*value(left(A"&amp;"B39))*5+REGEXMATCH(AB39,""Seaplanes"")*value(left(AB39))*4))"),846.8)</f>
        <v>846.8</v>
      </c>
      <c r="V39" s="148" t="s">
        <v>1528</v>
      </c>
      <c r="W39" s="148" t="s">
        <v>1594</v>
      </c>
      <c r="X39" s="149" t="s">
        <v>551</v>
      </c>
      <c r="Y39" s="149" t="s">
        <v>551</v>
      </c>
      <c r="Z39" s="147" t="s">
        <v>1510</v>
      </c>
      <c r="AA39" s="147" t="s">
        <v>1511</v>
      </c>
      <c r="AB39" s="147" t="s">
        <v>1535</v>
      </c>
      <c r="AC39" s="147" t="s">
        <v>1595</v>
      </c>
      <c r="AD39" s="147" t="s">
        <v>1584</v>
      </c>
      <c r="AE39" s="147" t="s">
        <v>1593</v>
      </c>
      <c r="AF39" s="147" t="s">
        <v>1569</v>
      </c>
    </row>
    <row r="40" ht="15.75" customHeight="1">
      <c r="A40" s="141">
        <v>226.1</v>
      </c>
      <c r="B40" s="142" t="s">
        <v>95</v>
      </c>
      <c r="C40" s="143" t="str">
        <f>HYPERLINK("https://azurlane.koumakan.jp/Souryuu#Retrofit","Souryuu (R)")</f>
        <v>Souryuu (R)</v>
      </c>
      <c r="D40" s="142" t="s">
        <v>32</v>
      </c>
      <c r="E40" s="158">
        <v>5580.0</v>
      </c>
      <c r="F40" s="145">
        <v>0.0</v>
      </c>
      <c r="G40" s="145">
        <v>0.0</v>
      </c>
      <c r="H40" s="145">
        <v>430.0</v>
      </c>
      <c r="I40" s="145">
        <v>369.0</v>
      </c>
      <c r="J40" s="145">
        <v>143.0</v>
      </c>
      <c r="K40" s="145">
        <v>68.0</v>
      </c>
      <c r="L40" s="145" t="s">
        <v>71</v>
      </c>
      <c r="M40" s="145">
        <v>34.0</v>
      </c>
      <c r="N40" s="145">
        <v>87.0</v>
      </c>
      <c r="O40" s="169">
        <v>36.0</v>
      </c>
      <c r="P40" s="145">
        <v>0.0</v>
      </c>
      <c r="Q40" s="145">
        <v>12.0</v>
      </c>
      <c r="R40" s="145">
        <v>0.0</v>
      </c>
      <c r="S40" s="145">
        <v>0.0</v>
      </c>
      <c r="T40" s="147" t="s">
        <v>143</v>
      </c>
      <c r="U40" s="339">
        <f>IFERROR(__xludf.DUMMYFUNCTION("((H40+200+REGEXMATCH(Z40,""ers"")*45+REGEXMATCH(AA40,""ers"")*45+REGEXMATCH(AB40,""ers"")*45)/100)*2* (if(ISERROR(value(left(Z40))), 0, REGEXMATCH(Z40,""Fighters"")*value(left(Z40))*10+REGEXMATCH(Z40,""Divebombers"")*value(left(Z40))*6+REGEXMATCH(Z40,""To"&amp;"rpbombers"")*value(left(Z40))*5+REGEXMATCH(Z40,""Seaplanes"")*value(left(Z40))*4)+ if(ISERROR(value(left(AA40))), 0, REGEXMATCH(AA40,""Fighters"")*value(left(AA40))*10+REGEXMATCH(AA40,""Divebombers"")*value(left(AA40))*6+REGEXMATCH(AA40,""Torpbombers"")*v"&amp;"alue(left(AA40))*5+REGEXMATCH(AA40,""Seaplanes"")*value(left(AA40))*4)+ if(ISERROR(value(left(AB40))), 0, REGEXMATCH(AB40,""Fighters"")*value(left(AB40))*10+REGEXMATCH(AB40,""Divebombers"")*value(left(AB40))*6+REGEXMATCH(AB40,""Torpbombers"")*value(left(A"&amp;"B40))*5+REGEXMATCH(AB40,""Seaplanes"")*value(left(AB40))*4))"),887.4000000000001)</f>
        <v>887.4</v>
      </c>
      <c r="V40" s="148" t="s">
        <v>1528</v>
      </c>
      <c r="W40" s="148" t="s">
        <v>1594</v>
      </c>
      <c r="X40" s="149" t="s">
        <v>551</v>
      </c>
      <c r="Y40" s="164" t="s">
        <v>1596</v>
      </c>
      <c r="Z40" s="147" t="s">
        <v>1510</v>
      </c>
      <c r="AA40" s="147" t="s">
        <v>1511</v>
      </c>
      <c r="AB40" s="147" t="s">
        <v>1535</v>
      </c>
      <c r="AC40" s="147" t="s">
        <v>1597</v>
      </c>
      <c r="AD40" s="147" t="s">
        <v>1543</v>
      </c>
      <c r="AE40" s="147" t="s">
        <v>1593</v>
      </c>
      <c r="AF40" s="147" t="s">
        <v>1598</v>
      </c>
    </row>
    <row r="41" ht="15.75" customHeight="1">
      <c r="A41" s="141">
        <v>227.0</v>
      </c>
      <c r="B41" s="142" t="s">
        <v>95</v>
      </c>
      <c r="C41" s="143" t="str">
        <f>HYPERLINK("https://azurlane.koumakan.jp/Hiryuu","Hiryuu")</f>
        <v>Hiryuu</v>
      </c>
      <c r="D41" s="142" t="s">
        <v>28</v>
      </c>
      <c r="E41" s="145">
        <v>5598.0</v>
      </c>
      <c r="F41" s="145">
        <v>0.0</v>
      </c>
      <c r="G41" s="145">
        <v>0.0</v>
      </c>
      <c r="H41" s="145">
        <v>396.0</v>
      </c>
      <c r="I41" s="145">
        <v>317.0</v>
      </c>
      <c r="J41" s="145">
        <v>123.0</v>
      </c>
      <c r="K41" s="145">
        <v>58.0</v>
      </c>
      <c r="L41" s="145" t="s">
        <v>71</v>
      </c>
      <c r="M41" s="145">
        <v>34.0</v>
      </c>
      <c r="N41" s="145">
        <v>87.0</v>
      </c>
      <c r="O41" s="145">
        <v>36.0</v>
      </c>
      <c r="P41" s="145">
        <v>0.0</v>
      </c>
      <c r="Q41" s="145">
        <v>12.0</v>
      </c>
      <c r="R41" s="145">
        <v>0.0</v>
      </c>
      <c r="S41" s="145">
        <v>0.0</v>
      </c>
      <c r="T41" s="147" t="s">
        <v>143</v>
      </c>
      <c r="U41" s="340">
        <f>IFERROR(__xludf.DUMMYFUNCTION("((H41+200+REGEXMATCH(Z41,""ers"")*45+REGEXMATCH(AA41,""ers"")*45+REGEXMATCH(AB41,""ers"")*45)/100)*2* (if(ISERROR(value(left(Z41))), 0, REGEXMATCH(Z41,""Fighters"")*value(left(Z41))*10+REGEXMATCH(Z41,""Divebombers"")*value(left(Z41))*6+REGEXMATCH(Z41,""To"&amp;"rpbombers"")*value(left(Z41))*5+REGEXMATCH(Z41,""Seaplanes"")*value(left(Z41))*4)+ if(ISERROR(value(left(AA41))), 0, REGEXMATCH(AA41,""Fighters"")*value(left(AA41))*10+REGEXMATCH(AA41,""Divebombers"")*value(left(AA41))*6+REGEXMATCH(AA41,""Torpbombers"")*v"&amp;"alue(left(AA41))*5+REGEXMATCH(AA41,""Seaplanes"")*value(left(AA41))*4)+ if(ISERROR(value(left(AB41))), 0, REGEXMATCH(AB41,""Fighters"")*value(left(AB41))*10+REGEXMATCH(AB41,""Divebombers"")*value(left(AB41))*6+REGEXMATCH(AB41,""Torpbombers"")*value(left(A"&amp;"B41))*5+REGEXMATCH(AB41,""Seaplanes"")*value(left(AB41))*4))"),833.3399999999999)</f>
        <v>833.34</v>
      </c>
      <c r="V41" s="161" t="s">
        <v>1599</v>
      </c>
      <c r="W41" s="148" t="s">
        <v>1594</v>
      </c>
      <c r="X41" s="149" t="s">
        <v>551</v>
      </c>
      <c r="Y41" s="149" t="s">
        <v>551</v>
      </c>
      <c r="Z41" s="147" t="s">
        <v>1510</v>
      </c>
      <c r="AA41" s="147" t="s">
        <v>1520</v>
      </c>
      <c r="AB41" s="147" t="s">
        <v>1547</v>
      </c>
      <c r="AC41" s="147" t="s">
        <v>1592</v>
      </c>
      <c r="AD41" s="147" t="s">
        <v>1584</v>
      </c>
      <c r="AE41" s="147" t="s">
        <v>1569</v>
      </c>
      <c r="AF41" s="147" t="s">
        <v>1593</v>
      </c>
    </row>
    <row r="42" ht="15.75" customHeight="1">
      <c r="A42" s="141">
        <v>227.1</v>
      </c>
      <c r="B42" s="142" t="s">
        <v>95</v>
      </c>
      <c r="C42" s="143" t="str">
        <f>HYPERLINK("https://azurlane.koumakan.jp/Hiryuu#Retrofit","Hiryuu (R)")</f>
        <v>Hiryuu (R)</v>
      </c>
      <c r="D42" s="142" t="s">
        <v>32</v>
      </c>
      <c r="E42" s="144">
        <v>5808.0</v>
      </c>
      <c r="F42" s="145">
        <v>0.0</v>
      </c>
      <c r="G42" s="145">
        <v>0.0</v>
      </c>
      <c r="H42" s="145">
        <v>431.0</v>
      </c>
      <c r="I42" s="145">
        <v>367.0</v>
      </c>
      <c r="J42" s="145">
        <v>143.0</v>
      </c>
      <c r="K42" s="145">
        <v>68.0</v>
      </c>
      <c r="L42" s="145" t="s">
        <v>71</v>
      </c>
      <c r="M42" s="145">
        <v>34.0</v>
      </c>
      <c r="N42" s="145">
        <v>87.0</v>
      </c>
      <c r="O42" s="146">
        <v>36.0</v>
      </c>
      <c r="P42" s="145">
        <v>0.0</v>
      </c>
      <c r="Q42" s="145">
        <v>12.0</v>
      </c>
      <c r="R42" s="145">
        <v>0.0</v>
      </c>
      <c r="S42" s="145">
        <v>0.0</v>
      </c>
      <c r="T42" s="147" t="s">
        <v>143</v>
      </c>
      <c r="U42" s="341">
        <f>IFERROR(__xludf.DUMMYFUNCTION("((H42+200+REGEXMATCH(Z42,""ers"")*45+REGEXMATCH(AA42,""ers"")*45+REGEXMATCH(AB42,""ers"")*45)/100)*2* (if(ISERROR(value(left(Z42))), 0, REGEXMATCH(Z42,""Fighters"")*value(left(Z42))*10+REGEXMATCH(Z42,""Divebombers"")*value(left(Z42))*6+REGEXMATCH(Z42,""To"&amp;"rpbombers"")*value(left(Z42))*5+REGEXMATCH(Z42,""Seaplanes"")*value(left(Z42))*4)+ if(ISERROR(value(left(AA42))), 0, REGEXMATCH(AA42,""Fighters"")*value(left(AA42))*10+REGEXMATCH(AA42,""Divebombers"")*value(left(AA42))*6+REGEXMATCH(AA42,""Torpbombers"")*v"&amp;"alue(left(AA42))*5+REGEXMATCH(AA42,""Seaplanes"")*value(left(AA42))*4)+ if(ISERROR(value(left(AB42))), 0, REGEXMATCH(AB42,""Fighters"")*value(left(AB42))*10+REGEXMATCH(AB42,""Divebombers"")*value(left(AB42))*6+REGEXMATCH(AB42,""Torpbombers"")*value(left(A"&amp;"B42))*5+REGEXMATCH(AB42,""Seaplanes"")*value(left(AB42))*4))"),873.24)</f>
        <v>873.24</v>
      </c>
      <c r="V42" s="161" t="s">
        <v>1599</v>
      </c>
      <c r="W42" s="148" t="s">
        <v>1594</v>
      </c>
      <c r="X42" s="149" t="s">
        <v>551</v>
      </c>
      <c r="Y42" s="164" t="s">
        <v>1596</v>
      </c>
      <c r="Z42" s="147" t="s">
        <v>1510</v>
      </c>
      <c r="AA42" s="147" t="s">
        <v>1520</v>
      </c>
      <c r="AB42" s="147" t="s">
        <v>1547</v>
      </c>
      <c r="AC42" s="147" t="s">
        <v>1600</v>
      </c>
      <c r="AD42" s="147" t="s">
        <v>1543</v>
      </c>
      <c r="AE42" s="147" t="s">
        <v>1598</v>
      </c>
      <c r="AF42" s="147" t="s">
        <v>1593</v>
      </c>
    </row>
    <row r="43" ht="15.75" customHeight="1">
      <c r="A43" s="141">
        <v>228.0</v>
      </c>
      <c r="B43" s="142" t="s">
        <v>95</v>
      </c>
      <c r="C43" s="143" t="str">
        <f>HYPERLINK("https://azurlane.koumakan.jp/Shoukaku","Shoukaku")</f>
        <v>Shoukaku</v>
      </c>
      <c r="D43" s="142" t="s">
        <v>32</v>
      </c>
      <c r="E43" s="165">
        <v>6885.0</v>
      </c>
      <c r="F43" s="145">
        <v>0.0</v>
      </c>
      <c r="G43" s="145">
        <v>0.0</v>
      </c>
      <c r="H43" s="145">
        <v>417.0</v>
      </c>
      <c r="I43" s="145">
        <v>357.0</v>
      </c>
      <c r="J43" s="145">
        <v>121.0</v>
      </c>
      <c r="K43" s="145">
        <v>58.0</v>
      </c>
      <c r="L43" s="145" t="s">
        <v>71</v>
      </c>
      <c r="M43" s="145">
        <v>34.0</v>
      </c>
      <c r="N43" s="145">
        <v>90.0</v>
      </c>
      <c r="O43" s="166">
        <v>49.0</v>
      </c>
      <c r="P43" s="145">
        <v>0.0</v>
      </c>
      <c r="Q43" s="145">
        <v>13.0</v>
      </c>
      <c r="R43" s="145">
        <v>0.0</v>
      </c>
      <c r="S43" s="145">
        <v>0.0</v>
      </c>
      <c r="T43" s="147" t="s">
        <v>143</v>
      </c>
      <c r="U43" s="304">
        <f>IFERROR(__xludf.DUMMYFUNCTION("((H43+200+REGEXMATCH(Z43,""ers"")*45+REGEXMATCH(AA43,""ers"")*45+REGEXMATCH(AB43,""ers"")*45)/100)*2* (if(ISERROR(value(left(Z43))), 0, REGEXMATCH(Z43,""Fighters"")*value(left(Z43))*10+REGEXMATCH(Z43,""Divebombers"")*value(left(Z43))*6+REGEXMATCH(Z43,""To"&amp;"rpbombers"")*value(left(Z43))*5+REGEXMATCH(Z43,""Seaplanes"")*value(left(Z43))*4)+ if(ISERROR(value(left(AA43))), 0, REGEXMATCH(AA43,""Fighters"")*value(left(AA43))*10+REGEXMATCH(AA43,""Divebombers"")*value(left(AA43))*6+REGEXMATCH(AA43,""Torpbombers"")*v"&amp;"alue(left(AA43))*5+REGEXMATCH(AA43,""Seaplanes"")*value(left(AA43))*4)+ if(ISERROR(value(left(AB43))), 0, REGEXMATCH(AB43,""Fighters"")*value(left(AB43))*10+REGEXMATCH(AB43,""Divebombers"")*value(left(AB43))*6+REGEXMATCH(AB43,""Torpbombers"")*value(left(A"&amp;"B43))*5+REGEXMATCH(AB43,""Seaplanes"")*value(left(AB43))*4))"),782.0799999999999)</f>
        <v>782.08</v>
      </c>
      <c r="V43" s="161" t="s">
        <v>1601</v>
      </c>
      <c r="W43" s="148" t="s">
        <v>1602</v>
      </c>
      <c r="X43" s="149" t="s">
        <v>551</v>
      </c>
      <c r="Y43" s="149" t="s">
        <v>551</v>
      </c>
      <c r="Z43" s="147" t="s">
        <v>1529</v>
      </c>
      <c r="AA43" s="147" t="s">
        <v>1520</v>
      </c>
      <c r="AB43" s="147" t="s">
        <v>1603</v>
      </c>
      <c r="AC43" s="147" t="s">
        <v>1592</v>
      </c>
      <c r="AD43" s="147" t="s">
        <v>1569</v>
      </c>
      <c r="AE43" s="147" t="s">
        <v>1569</v>
      </c>
      <c r="AF43" s="147" t="s">
        <v>1604</v>
      </c>
    </row>
    <row r="44">
      <c r="A44" s="141">
        <v>229.0</v>
      </c>
      <c r="B44" s="142" t="s">
        <v>95</v>
      </c>
      <c r="C44" s="143" t="str">
        <f>HYPERLINK("https://azurlane.koumakan.jp/Zuikaku","Zuikaku")</f>
        <v>Zuikaku</v>
      </c>
      <c r="D44" s="142" t="s">
        <v>32</v>
      </c>
      <c r="E44" s="145">
        <v>7360.0</v>
      </c>
      <c r="F44" s="145">
        <v>0.0</v>
      </c>
      <c r="G44" s="145">
        <v>0.0</v>
      </c>
      <c r="H44" s="145">
        <v>420.0</v>
      </c>
      <c r="I44" s="145">
        <v>330.0</v>
      </c>
      <c r="J44" s="145">
        <v>121.0</v>
      </c>
      <c r="K44" s="145">
        <v>59.0</v>
      </c>
      <c r="L44" s="145" t="s">
        <v>71</v>
      </c>
      <c r="M44" s="145">
        <v>34.0</v>
      </c>
      <c r="N44" s="145">
        <v>90.0</v>
      </c>
      <c r="O44" s="145">
        <v>73.0</v>
      </c>
      <c r="P44" s="145">
        <v>0.0</v>
      </c>
      <c r="Q44" s="145">
        <v>13.0</v>
      </c>
      <c r="R44" s="145">
        <v>0.0</v>
      </c>
      <c r="S44" s="145">
        <v>0.0</v>
      </c>
      <c r="T44" s="147" t="s">
        <v>143</v>
      </c>
      <c r="U44" s="342">
        <f>IFERROR(__xludf.DUMMYFUNCTION("((H44+200+REGEXMATCH(Z44,""ers"")*45+REGEXMATCH(AA44,""ers"")*45+REGEXMATCH(AB44,""ers"")*45)/100)*2* (if(ISERROR(value(left(Z44))), 0, REGEXMATCH(Z44,""Fighters"")*value(left(Z44))*10+REGEXMATCH(Z44,""Divebombers"")*value(left(Z44))*6+REGEXMATCH(Z44,""To"&amp;"rpbombers"")*value(left(Z44))*5+REGEXMATCH(Z44,""Seaplanes"")*value(left(Z44))*4)+ if(ISERROR(value(left(AA44))), 0, REGEXMATCH(AA44,""Fighters"")*value(left(AA44))*10+REGEXMATCH(AA44,""Divebombers"")*value(left(AA44))*6+REGEXMATCH(AA44,""Torpbombers"")*v"&amp;"alue(left(AA44))*5+REGEXMATCH(AA44,""Seaplanes"")*value(left(AA44))*4)+ if(ISERROR(value(left(AB44))), 0, REGEXMATCH(AB44,""Fighters"")*value(left(AB44))*10+REGEXMATCH(AB44,""Divebombers"")*value(left(AB44))*6+REGEXMATCH(AB44,""Torpbombers"")*value(left(A"&amp;"B44))*5+REGEXMATCH(AB44,""Seaplanes"")*value(left(AB44))*4))"),800.3)</f>
        <v>800.3</v>
      </c>
      <c r="V44" s="164" t="s">
        <v>1605</v>
      </c>
      <c r="W44" s="148" t="s">
        <v>1602</v>
      </c>
      <c r="X44" s="149" t="s">
        <v>551</v>
      </c>
      <c r="Y44" s="149" t="s">
        <v>551</v>
      </c>
      <c r="Z44" s="147" t="s">
        <v>1529</v>
      </c>
      <c r="AA44" s="147" t="s">
        <v>1511</v>
      </c>
      <c r="AB44" s="147" t="s">
        <v>1547</v>
      </c>
      <c r="AC44" s="147" t="s">
        <v>1606</v>
      </c>
      <c r="AD44" s="147" t="s">
        <v>1607</v>
      </c>
      <c r="AE44" s="147" t="s">
        <v>1543</v>
      </c>
      <c r="AF44" s="147" t="s">
        <v>1543</v>
      </c>
    </row>
    <row r="45">
      <c r="A45" s="141">
        <v>230.0</v>
      </c>
      <c r="B45" s="142" t="s">
        <v>95</v>
      </c>
      <c r="C45" s="143" t="str">
        <f>HYPERLINK("https://azurlane.koumakan.jp/Taihou","Taihou")</f>
        <v>Taihou</v>
      </c>
      <c r="D45" s="142" t="s">
        <v>32</v>
      </c>
      <c r="E45" s="145">
        <v>7481.0</v>
      </c>
      <c r="F45" s="145">
        <v>0.0</v>
      </c>
      <c r="G45" s="145">
        <v>0.0</v>
      </c>
      <c r="H45" s="145">
        <v>405.0</v>
      </c>
      <c r="I45" s="145">
        <v>326.0</v>
      </c>
      <c r="J45" s="145">
        <v>121.0</v>
      </c>
      <c r="K45" s="145">
        <v>56.0</v>
      </c>
      <c r="L45" s="145" t="s">
        <v>83</v>
      </c>
      <c r="M45" s="145">
        <v>33.0</v>
      </c>
      <c r="N45" s="145">
        <v>84.0</v>
      </c>
      <c r="O45" s="145">
        <v>36.0</v>
      </c>
      <c r="P45" s="145">
        <v>0.0</v>
      </c>
      <c r="Q45" s="145">
        <v>13.0</v>
      </c>
      <c r="R45" s="145">
        <v>0.0</v>
      </c>
      <c r="S45" s="145">
        <v>0.0</v>
      </c>
      <c r="T45" s="147" t="s">
        <v>143</v>
      </c>
      <c r="U45" s="343">
        <f>IFERROR(__xludf.DUMMYFUNCTION("((H45+200+REGEXMATCH(Z45,""ers"")*45+REGEXMATCH(AA45,""ers"")*45+REGEXMATCH(AB45,""ers"")*45)/100)*2* (if(ISERROR(value(left(Z45))), 0, REGEXMATCH(Z45,""Fighters"")*value(left(Z45))*10+REGEXMATCH(Z45,""Divebombers"")*value(left(Z45))*6+REGEXMATCH(Z45,""To"&amp;"rpbombers"")*value(left(Z45))*5+REGEXMATCH(Z45,""Seaplanes"")*value(left(Z45))*4)+ if(ISERROR(value(left(AA45))), 0, REGEXMATCH(AA45,""Fighters"")*value(left(AA45))*10+REGEXMATCH(AA45,""Divebombers"")*value(left(AA45))*6+REGEXMATCH(AA45,""Torpbombers"")*v"&amp;"alue(left(AA45))*5+REGEXMATCH(AA45,""Seaplanes"")*value(left(AA45))*4)+ if(ISERROR(value(left(AB45))), 0, REGEXMATCH(AB45,""Fighters"")*value(left(AB45))*10+REGEXMATCH(AB45,""Divebombers"")*value(left(AB45))*6+REGEXMATCH(AB45,""Torpbombers"")*value(left(A"&amp;"B45))*5+REGEXMATCH(AB45,""Seaplanes"")*value(left(AB45))*4))"),784.4000000000001)</f>
        <v>784.4</v>
      </c>
      <c r="V45" s="164" t="s">
        <v>1608</v>
      </c>
      <c r="W45" s="161" t="s">
        <v>1609</v>
      </c>
      <c r="X45" s="149" t="s">
        <v>551</v>
      </c>
      <c r="Y45" s="149" t="s">
        <v>551</v>
      </c>
      <c r="Z45" s="147" t="s">
        <v>1529</v>
      </c>
      <c r="AA45" s="147" t="s">
        <v>1511</v>
      </c>
      <c r="AB45" s="147" t="s">
        <v>1547</v>
      </c>
      <c r="AC45" s="147" t="s">
        <v>1610</v>
      </c>
      <c r="AD45" s="147" t="s">
        <v>1530</v>
      </c>
      <c r="AE45" s="147" t="s">
        <v>1513</v>
      </c>
      <c r="AF45" s="147" t="s">
        <v>1559</v>
      </c>
    </row>
    <row r="46">
      <c r="A46" s="156">
        <v>231.0</v>
      </c>
      <c r="B46" s="265" t="s">
        <v>95</v>
      </c>
      <c r="C46" s="197" t="s">
        <v>190</v>
      </c>
      <c r="D46" s="144" t="s">
        <v>34</v>
      </c>
      <c r="E46" s="344">
        <v>8818.0</v>
      </c>
      <c r="F46" s="260">
        <v>0.0</v>
      </c>
      <c r="G46" s="260">
        <v>0.0</v>
      </c>
      <c r="H46" s="260">
        <v>443.0</v>
      </c>
      <c r="I46" s="260">
        <v>324.0</v>
      </c>
      <c r="J46" s="260">
        <v>128.0</v>
      </c>
      <c r="K46" s="260">
        <v>50.0</v>
      </c>
      <c r="L46" s="260" t="s">
        <v>83</v>
      </c>
      <c r="M46" s="260">
        <v>28.0</v>
      </c>
      <c r="N46" s="175">
        <v>80.0</v>
      </c>
      <c r="O46" s="175">
        <v>32.0</v>
      </c>
      <c r="P46" s="260">
        <v>0.0</v>
      </c>
      <c r="Q46" s="260">
        <v>15.0</v>
      </c>
      <c r="R46" s="260">
        <v>0.0</v>
      </c>
      <c r="S46" s="260">
        <v>0.0</v>
      </c>
      <c r="T46" s="160" t="s">
        <v>143</v>
      </c>
      <c r="U46" s="323">
        <f>IFERROR(__xludf.DUMMYFUNCTION("((H46+200+REGEXMATCH(Z46,""ers"")*45+REGEXMATCH(AA46,""ers"")*45+REGEXMATCH(AB46,""ers"")*45)/100)*2* (if(ISERROR(value(left(Z46))), 0, REGEXMATCH(Z46,""Fighters"")*value(left(Z46))*10+REGEXMATCH(Z46,""Divebombers"")*value(left(Z46))*6+REGEXMATCH(Z46,""To"&amp;"rpbombers"")*value(left(Z46))*5+REGEXMATCH(Z46,""Seaplanes"")*value(left(Z46))*4)+ if(ISERROR(value(left(AA46))), 0, REGEXMATCH(AA46,""Fighters"")*value(left(AA46))*10+REGEXMATCH(AA46,""Divebombers"")*value(left(AA46))*6+REGEXMATCH(AA46,""Torpbombers"")*v"&amp;"alue(left(AA46))*5+REGEXMATCH(AA46,""Seaplanes"")*value(left(AA46))*4)+ if(ISERROR(value(left(AB46))), 0, REGEXMATCH(AB46,""Fighters"")*value(left(AB46))*10+REGEXMATCH(AB46,""Divebombers"")*value(left(AB46))*6+REGEXMATCH(AB46,""Torpbombers"")*value(left(A"&amp;"B46))*5+REGEXMATCH(AB46,""Seaplanes"")*value(left(AB46))*4))"),902.48)</f>
        <v>902.48</v>
      </c>
      <c r="V46" s="179" t="s">
        <v>1611</v>
      </c>
      <c r="W46" s="325" t="s">
        <v>1612</v>
      </c>
      <c r="X46" s="345" t="s">
        <v>1613</v>
      </c>
      <c r="Y46" s="147" t="s">
        <v>551</v>
      </c>
      <c r="Z46" s="147" t="s">
        <v>1529</v>
      </c>
      <c r="AA46" s="147" t="s">
        <v>1511</v>
      </c>
      <c r="AB46" s="147" t="s">
        <v>1603</v>
      </c>
      <c r="AC46" s="147" t="s">
        <v>588</v>
      </c>
      <c r="AD46" s="147" t="s">
        <v>1533</v>
      </c>
      <c r="AE46" s="147" t="s">
        <v>1513</v>
      </c>
      <c r="AF46" s="147" t="s">
        <v>1614</v>
      </c>
    </row>
    <row r="47">
      <c r="A47" s="141">
        <v>252.0</v>
      </c>
      <c r="B47" s="142" t="s">
        <v>95</v>
      </c>
      <c r="C47" s="143" t="str">
        <f>HYPERLINK("https://azurlane.koumakan.jp/Graf_Zeppelin","Graf Zeppelin")</f>
        <v>Graf Zeppelin</v>
      </c>
      <c r="D47" s="142" t="s">
        <v>32</v>
      </c>
      <c r="E47" s="145">
        <v>7659.0</v>
      </c>
      <c r="F47" s="145">
        <v>0.0</v>
      </c>
      <c r="G47" s="145">
        <v>0.0</v>
      </c>
      <c r="H47" s="145">
        <v>428.0</v>
      </c>
      <c r="I47" s="145">
        <v>326.0</v>
      </c>
      <c r="J47" s="145">
        <v>129.0</v>
      </c>
      <c r="K47" s="145">
        <v>52.0</v>
      </c>
      <c r="L47" s="145" t="s">
        <v>71</v>
      </c>
      <c r="M47" s="145">
        <v>33.0</v>
      </c>
      <c r="N47" s="145">
        <v>90.0</v>
      </c>
      <c r="O47" s="145">
        <v>45.0</v>
      </c>
      <c r="P47" s="145">
        <v>0.0</v>
      </c>
      <c r="Q47" s="145">
        <v>13.0</v>
      </c>
      <c r="R47" s="145">
        <v>0.0</v>
      </c>
      <c r="S47" s="145">
        <v>0.0</v>
      </c>
      <c r="T47" s="147" t="s">
        <v>193</v>
      </c>
      <c r="U47" s="346">
        <f>IFERROR(__xludf.DUMMYFUNCTION("((H47+200+REGEXMATCH(Z47,""ers"")*45+REGEXMATCH(AA47,""ers"")*45+REGEXMATCH(AB47,""ers"")*45)/100)*2* (if(ISERROR(value(left(Z47))), 0, REGEXMATCH(Z47,""Fighters"")*value(left(Z47))*10+REGEXMATCH(Z47,""Divebombers"")*value(left(Z47))*6+REGEXMATCH(Z47,""To"&amp;"rpbombers"")*value(left(Z47))*5+REGEXMATCH(Z47,""Seaplanes"")*value(left(Z47))*4)+ if(ISERROR(value(left(AA47))), 0, REGEXMATCH(AA47,""Fighters"")*value(left(AA47))*10+REGEXMATCH(AA47,""Divebombers"")*value(left(AA47))*6+REGEXMATCH(AA47,""Torpbombers"")*v"&amp;"alue(left(AA47))*5+REGEXMATCH(AA47,""Seaplanes"")*value(left(AA47))*4)+ if(ISERROR(value(left(AB47))), 0, REGEXMATCH(AB47,""Fighters"")*value(left(AB47))*10+REGEXMATCH(AB47,""Divebombers"")*value(left(AB47))*6+REGEXMATCH(AB47,""Torpbombers"")*value(left(A"&amp;"B47))*5+REGEXMATCH(AB47,""Seaplanes"")*value(left(AB47))*4))"),854.56)</f>
        <v>854.56</v>
      </c>
      <c r="V47" s="161" t="s">
        <v>1615</v>
      </c>
      <c r="W47" s="164" t="s">
        <v>1616</v>
      </c>
      <c r="X47" s="149" t="s">
        <v>551</v>
      </c>
      <c r="Y47" s="149" t="s">
        <v>551</v>
      </c>
      <c r="Z47" s="147" t="s">
        <v>1529</v>
      </c>
      <c r="AA47" s="147" t="s">
        <v>1511</v>
      </c>
      <c r="AB47" s="147" t="s">
        <v>1511</v>
      </c>
      <c r="AC47" s="147" t="s">
        <v>558</v>
      </c>
      <c r="AD47" s="147" t="s">
        <v>1530</v>
      </c>
      <c r="AE47" s="147" t="s">
        <v>1521</v>
      </c>
      <c r="AF47" s="147">
        <v>0.0</v>
      </c>
    </row>
    <row r="48">
      <c r="A48" s="141">
        <v>356.0</v>
      </c>
      <c r="B48" s="142" t="s">
        <v>91</v>
      </c>
      <c r="C48" s="143" t="str">
        <f>HYPERLINK("https://azurlane.koumakan.jp/Centaur","Centaur")</f>
        <v>Centaur</v>
      </c>
      <c r="D48" s="142" t="s">
        <v>32</v>
      </c>
      <c r="E48" s="165">
        <v>6784.0</v>
      </c>
      <c r="F48" s="145">
        <v>0.0</v>
      </c>
      <c r="G48" s="145">
        <v>0.0</v>
      </c>
      <c r="H48" s="145">
        <v>426.0</v>
      </c>
      <c r="I48" s="145">
        <v>274.0</v>
      </c>
      <c r="J48" s="145">
        <v>162.0</v>
      </c>
      <c r="K48" s="145">
        <v>72.0</v>
      </c>
      <c r="L48" s="145" t="s">
        <v>71</v>
      </c>
      <c r="M48" s="145">
        <v>28.0</v>
      </c>
      <c r="N48" s="145">
        <v>98.0</v>
      </c>
      <c r="O48" s="166">
        <v>73.0</v>
      </c>
      <c r="P48" s="145">
        <v>128.0</v>
      </c>
      <c r="Q48" s="145">
        <v>13.0</v>
      </c>
      <c r="R48" s="145">
        <v>0.0</v>
      </c>
      <c r="S48" s="145">
        <v>0.0</v>
      </c>
      <c r="T48" s="147" t="s">
        <v>104</v>
      </c>
      <c r="U48" s="347">
        <f>IFERROR(__xludf.DUMMYFUNCTION("((H48+200+REGEXMATCH(Z48,""ers"")*45+REGEXMATCH(AA48,""ers"")*45+REGEXMATCH(AB48,""ers"")*45)/100)*2* (if(ISERROR(value(left(Z48))), 0, REGEXMATCH(Z48,""Fighters"")*value(left(Z48))*10+REGEXMATCH(Z48,""Divebombers"")*value(left(Z48))*6+REGEXMATCH(Z48,""To"&amp;"rpbombers"")*value(left(Z48))*5+REGEXMATCH(Z48,""Seaplanes"")*value(left(Z48))*4)+ if(ISERROR(value(left(AA48))), 0, REGEXMATCH(AA48,""Fighters"")*value(left(AA48))*10+REGEXMATCH(AA48,""Divebombers"")*value(left(AA48))*6+REGEXMATCH(AA48,""Torpbombers"")*v"&amp;"alue(left(AA48))*5+REGEXMATCH(AA48,""Seaplanes"")*value(left(AA48))*4)+ if(ISERROR(value(left(AB48))), 0, REGEXMATCH(AB48,""Fighters"")*value(left(AB48))*10+REGEXMATCH(AB48,""Divebombers"")*value(left(AB48))*6+REGEXMATCH(AB48,""Torpbombers"")*value(left(A"&amp;"B48))*5+REGEXMATCH(AB48,""Seaplanes"")*value(left(AB48))*4))"),913.2)</f>
        <v>913.2</v>
      </c>
      <c r="V48" s="164" t="s">
        <v>1617</v>
      </c>
      <c r="W48" s="148" t="s">
        <v>1618</v>
      </c>
      <c r="X48" s="149" t="s">
        <v>551</v>
      </c>
      <c r="Y48" s="149" t="s">
        <v>551</v>
      </c>
      <c r="Z48" s="147" t="s">
        <v>1529</v>
      </c>
      <c r="AA48" s="147" t="s">
        <v>1529</v>
      </c>
      <c r="AB48" s="147" t="s">
        <v>1603</v>
      </c>
      <c r="AC48" s="147" t="s">
        <v>1619</v>
      </c>
      <c r="AD48" s="147" t="s">
        <v>1620</v>
      </c>
      <c r="AE48" s="147">
        <v>0.0</v>
      </c>
      <c r="AF48" s="147" t="s">
        <v>1621</v>
      </c>
    </row>
    <row r="49">
      <c r="A49" s="141">
        <v>357.0</v>
      </c>
      <c r="B49" s="142" t="s">
        <v>95</v>
      </c>
      <c r="C49" s="143" t="str">
        <f>HYPERLINK("https://azurlane.koumakan.jp/Essex","Essex")</f>
        <v>Essex</v>
      </c>
      <c r="D49" s="142" t="s">
        <v>32</v>
      </c>
      <c r="E49" s="145">
        <v>6804.0</v>
      </c>
      <c r="F49" s="145">
        <v>0.0</v>
      </c>
      <c r="G49" s="145">
        <v>0.0</v>
      </c>
      <c r="H49" s="145">
        <v>439.0</v>
      </c>
      <c r="I49" s="145">
        <v>338.0</v>
      </c>
      <c r="J49" s="145">
        <v>132.0</v>
      </c>
      <c r="K49" s="145">
        <v>56.0</v>
      </c>
      <c r="L49" s="145" t="s">
        <v>71</v>
      </c>
      <c r="M49" s="145">
        <v>33.0</v>
      </c>
      <c r="N49" s="145">
        <v>90.0</v>
      </c>
      <c r="O49" s="145">
        <v>90.0</v>
      </c>
      <c r="P49" s="145">
        <v>0.0</v>
      </c>
      <c r="Q49" s="145">
        <v>13.0</v>
      </c>
      <c r="R49" s="145">
        <v>0.0</v>
      </c>
      <c r="S49" s="145">
        <v>0.0</v>
      </c>
      <c r="T49" s="147" t="s">
        <v>37</v>
      </c>
      <c r="U49" s="348">
        <f>IFERROR(__xludf.DUMMYFUNCTION("((H49+200+REGEXMATCH(Z49,""ers"")*45+REGEXMATCH(AA49,""ers"")*45+REGEXMATCH(AB49,""ers"")*45)/100)*2* (if(ISERROR(value(left(Z49))), 0, REGEXMATCH(Z49,""Fighters"")*value(left(Z49))*10+REGEXMATCH(Z49,""Divebombers"")*value(left(Z49))*6+REGEXMATCH(Z49,""To"&amp;"rpbombers"")*value(left(Z49))*5+REGEXMATCH(Z49,""Seaplanes"")*value(left(Z49))*4)+ if(ISERROR(value(left(AA49))), 0, REGEXMATCH(AA49,""Fighters"")*value(left(AA49))*10+REGEXMATCH(AA49,""Divebombers"")*value(left(AA49))*6+REGEXMATCH(AA49,""Torpbombers"")*v"&amp;"alue(left(AA49))*5+REGEXMATCH(AA49,""Seaplanes"")*value(left(AA49))*4)+ if(ISERROR(value(left(AB49))), 0, REGEXMATCH(AB49,""Fighters"")*value(left(AB49))*10+REGEXMATCH(AB49,""Divebombers"")*value(left(AB49))*6+REGEXMATCH(AB49,""Torpbombers"")*value(left(A"&amp;"B49))*5+REGEXMATCH(AB49,""Seaplanes"")*value(left(AB49))*4))"),897.84)</f>
        <v>897.84</v>
      </c>
      <c r="V49" s="164" t="s">
        <v>1622</v>
      </c>
      <c r="W49" s="148" t="s">
        <v>1623</v>
      </c>
      <c r="X49" s="161" t="s">
        <v>1624</v>
      </c>
      <c r="Y49" s="149" t="s">
        <v>551</v>
      </c>
      <c r="Z49" s="147" t="s">
        <v>1510</v>
      </c>
      <c r="AA49" s="147" t="s">
        <v>1511</v>
      </c>
      <c r="AB49" s="147" t="s">
        <v>1625</v>
      </c>
      <c r="AC49" s="147" t="s">
        <v>1626</v>
      </c>
      <c r="AD49" s="147" t="s">
        <v>1559</v>
      </c>
      <c r="AE49" s="147" t="s">
        <v>1513</v>
      </c>
      <c r="AF49" s="147" t="s">
        <v>1530</v>
      </c>
    </row>
    <row r="50">
      <c r="A50" s="156">
        <v>376.0</v>
      </c>
      <c r="B50" s="149" t="s">
        <v>91</v>
      </c>
      <c r="C50" s="349" t="str">
        <f>HYPERLINK("https://azurlane.koumakan.jp/Chaser","Chaser")</f>
        <v>Chaser</v>
      </c>
      <c r="D50" s="142" t="s">
        <v>28</v>
      </c>
      <c r="E50" s="145">
        <v>4819.0</v>
      </c>
      <c r="F50" s="145">
        <v>0.0</v>
      </c>
      <c r="G50" s="145">
        <v>0.0</v>
      </c>
      <c r="H50" s="145">
        <v>303.0</v>
      </c>
      <c r="I50" s="145">
        <v>263.0</v>
      </c>
      <c r="J50" s="145">
        <v>188.0</v>
      </c>
      <c r="K50" s="145">
        <v>64.0</v>
      </c>
      <c r="L50" s="145" t="s">
        <v>71</v>
      </c>
      <c r="M50" s="145">
        <v>18.0</v>
      </c>
      <c r="N50" s="145">
        <v>89.0</v>
      </c>
      <c r="O50" s="145">
        <v>82.0</v>
      </c>
      <c r="P50" s="145">
        <v>146.0</v>
      </c>
      <c r="Q50" s="145">
        <v>11.0</v>
      </c>
      <c r="R50" s="145">
        <v>0.0</v>
      </c>
      <c r="S50" s="145">
        <v>0.0</v>
      </c>
      <c r="T50" s="147" t="s">
        <v>104</v>
      </c>
      <c r="U50" s="350">
        <f>IFERROR(__xludf.DUMMYFUNCTION("((H50+200+REGEXMATCH(Z50,""ers"")*45+REGEXMATCH(AA50,""ers"")*45+REGEXMATCH(AB50,""ers"")*45)/100)*2* (if(ISERROR(value(left(Z50))), 0, REGEXMATCH(Z50,""Fighters"")*value(left(Z50))*10+REGEXMATCH(Z50,""Divebombers"")*value(left(Z50))*6+REGEXMATCH(Z50,""To"&amp;"rpbombers"")*value(left(Z50))*5+REGEXMATCH(Z50,""Seaplanes"")*value(left(Z50))*4)+ if(ISERROR(value(left(AA50))), 0, REGEXMATCH(AA50,""Fighters"")*value(left(AA50))*10+REGEXMATCH(AA50,""Divebombers"")*value(left(AA50))*6+REGEXMATCH(AA50,""Torpbombers"")*v"&amp;"alue(left(AA50))*5+REGEXMATCH(AA50,""Seaplanes"")*value(left(AA50))*4)+ if(ISERROR(value(left(AB50))), 0, REGEXMATCH(AB50,""Fighters"")*value(left(AB50))*10+REGEXMATCH(AB50,""Divebombers"")*value(left(AB50))*6+REGEXMATCH(AB50,""Torpbombers"")*value(left(A"&amp;"B50))*5+REGEXMATCH(AB50,""Seaplanes"")*value(left(AB50))*4))"),569.28)</f>
        <v>569.28</v>
      </c>
      <c r="V50" s="164" t="s">
        <v>1509</v>
      </c>
      <c r="W50" s="164" t="s">
        <v>1627</v>
      </c>
      <c r="X50" s="149" t="s">
        <v>551</v>
      </c>
      <c r="Y50" s="149" t="s">
        <v>551</v>
      </c>
      <c r="Z50" s="147" t="s">
        <v>1510</v>
      </c>
      <c r="AA50" s="147" t="s">
        <v>1511</v>
      </c>
      <c r="AB50" s="147" t="s">
        <v>11</v>
      </c>
      <c r="AC50" s="147" t="s">
        <v>1589</v>
      </c>
      <c r="AD50" s="147" t="s">
        <v>1513</v>
      </c>
      <c r="AE50" s="147" t="s">
        <v>1516</v>
      </c>
      <c r="AF50" s="147">
        <v>0.0</v>
      </c>
    </row>
    <row r="51">
      <c r="A51" s="156">
        <v>377.0</v>
      </c>
      <c r="B51" s="149" t="s">
        <v>91</v>
      </c>
      <c r="C51" s="157" t="str">
        <f>HYPERLINK("https://azurlane.koumakan.jp/Independence","Independence")</f>
        <v>Independence</v>
      </c>
      <c r="D51" s="142" t="s">
        <v>28</v>
      </c>
      <c r="E51" s="145">
        <v>4910.0</v>
      </c>
      <c r="F51" s="145">
        <v>0.0</v>
      </c>
      <c r="G51" s="145">
        <v>0.0</v>
      </c>
      <c r="H51" s="145">
        <v>314.0</v>
      </c>
      <c r="I51" s="145">
        <v>274.0</v>
      </c>
      <c r="J51" s="145">
        <v>185.0</v>
      </c>
      <c r="K51" s="145">
        <v>85.0</v>
      </c>
      <c r="L51" s="145" t="s">
        <v>71</v>
      </c>
      <c r="M51" s="145">
        <v>31.0</v>
      </c>
      <c r="N51" s="145">
        <v>91.0</v>
      </c>
      <c r="O51" s="145">
        <v>78.0</v>
      </c>
      <c r="P51" s="145">
        <v>110.0</v>
      </c>
      <c r="Q51" s="145">
        <v>11.0</v>
      </c>
      <c r="R51" s="145">
        <v>0.0</v>
      </c>
      <c r="S51" s="145">
        <v>0.0</v>
      </c>
      <c r="T51" s="147" t="s">
        <v>37</v>
      </c>
      <c r="U51" s="322">
        <f>IFERROR(__xludf.DUMMYFUNCTION("((H51+200+REGEXMATCH(Z51,""ers"")*45+REGEXMATCH(AA51,""ers"")*45+REGEXMATCH(AB51,""ers"")*45)/100)*2* (if(ISERROR(value(left(Z51))), 0, REGEXMATCH(Z51,""Fighters"")*value(left(Z51))*10+REGEXMATCH(Z51,""Divebombers"")*value(left(Z51))*6+REGEXMATCH(Z51,""To"&amp;"rpbombers"")*value(left(Z51))*5+REGEXMATCH(Z51,""Seaplanes"")*value(left(Z51))*4)+ if(ISERROR(value(left(AA51))), 0, REGEXMATCH(AA51,""Fighters"")*value(left(AA51))*10+REGEXMATCH(AA51,""Divebombers"")*value(left(AA51))*6+REGEXMATCH(AA51,""Torpbombers"")*v"&amp;"alue(left(AA51))*5+REGEXMATCH(AA51,""Seaplanes"")*value(left(AA51))*4)+ if(ISERROR(value(left(AB51))), 0, REGEXMATCH(AB51,""Fighters"")*value(left(AB51))*10+REGEXMATCH(AB51,""Divebombers"")*value(left(AB51))*6+REGEXMATCH(AB51,""Torpbombers"")*value(left(A"&amp;"B51))*5+REGEXMATCH(AB51,""Seaplanes"")*value(left(AB51))*4))"),543.6)</f>
        <v>543.6</v>
      </c>
      <c r="V51" s="164" t="s">
        <v>1628</v>
      </c>
      <c r="W51" s="148" t="s">
        <v>1629</v>
      </c>
      <c r="X51" s="149" t="s">
        <v>551</v>
      </c>
      <c r="Y51" s="149" t="s">
        <v>551</v>
      </c>
      <c r="Z51" s="147" t="s">
        <v>1510</v>
      </c>
      <c r="AA51" s="147" t="s">
        <v>1547</v>
      </c>
      <c r="AB51" s="147" t="s">
        <v>11</v>
      </c>
      <c r="AC51" s="147" t="s">
        <v>1589</v>
      </c>
      <c r="AD51" s="147" t="s">
        <v>1513</v>
      </c>
      <c r="AE51" s="147">
        <v>0.0</v>
      </c>
      <c r="AF51" s="147" t="s">
        <v>1516</v>
      </c>
    </row>
    <row r="52">
      <c r="A52" s="156">
        <v>377.1</v>
      </c>
      <c r="B52" s="259" t="s">
        <v>91</v>
      </c>
      <c r="C52" s="171" t="s">
        <v>256</v>
      </c>
      <c r="D52" s="158" t="s">
        <v>32</v>
      </c>
      <c r="E52" s="261">
        <v>5120.0</v>
      </c>
      <c r="F52" s="261">
        <v>0.0</v>
      </c>
      <c r="G52" s="261">
        <v>0.0</v>
      </c>
      <c r="H52" s="261">
        <v>334.0</v>
      </c>
      <c r="I52" s="261">
        <v>344.0</v>
      </c>
      <c r="J52" s="267">
        <v>205.0</v>
      </c>
      <c r="K52" s="261">
        <v>85.0</v>
      </c>
      <c r="L52" s="261" t="s">
        <v>71</v>
      </c>
      <c r="M52" s="261">
        <v>31.0</v>
      </c>
      <c r="N52" s="154">
        <v>91.0</v>
      </c>
      <c r="O52" s="154">
        <v>78.0</v>
      </c>
      <c r="P52" s="261">
        <v>110.0</v>
      </c>
      <c r="Q52" s="261">
        <v>11.0</v>
      </c>
      <c r="R52" s="261">
        <v>0.0</v>
      </c>
      <c r="S52" s="261">
        <v>0.0</v>
      </c>
      <c r="T52" s="147" t="s">
        <v>37</v>
      </c>
      <c r="U52" s="323">
        <f>IFERROR(__xludf.DUMMYFUNCTION("((H52+200+REGEXMATCH(Z52,""ers"")*45+REGEXMATCH(AA52,""ers"")*45+REGEXMATCH(AB52,""ers"")*45)/100)*2* (if(ISERROR(value(left(Z52))), 0, REGEXMATCH(Z52,""Fighters"")*value(left(Z52))*10+REGEXMATCH(Z52,""Divebombers"")*value(left(Z52))*6+REGEXMATCH(Z52,""To"&amp;"rpbombers"")*value(left(Z52))*5+REGEXMATCH(Z52,""Seaplanes"")*value(left(Z52))*4)+ if(ISERROR(value(left(AA52))), 0, REGEXMATCH(AA52,""Fighters"")*value(left(AA52))*10+REGEXMATCH(AA52,""Divebombers"")*value(left(AA52))*6+REGEXMATCH(AA52,""Torpbombers"")*v"&amp;"alue(left(AA52))*5+REGEXMATCH(AA52,""Seaplanes"")*value(left(AA52))*4)+ if(ISERROR(value(left(AB52))), 0, REGEXMATCH(AB52,""Fighters"")*value(left(AB52))*10+REGEXMATCH(AB52,""Divebombers"")*value(left(AB52))*6+REGEXMATCH(AB52,""Torpbombers"")*value(left(A"&amp;"B52))*5+REGEXMATCH(AB52,""Seaplanes"")*value(left(AB52))*4))"),748.8000000000001)</f>
        <v>748.8</v>
      </c>
      <c r="V52" s="164" t="s">
        <v>1628</v>
      </c>
      <c r="W52" s="148" t="s">
        <v>1629</v>
      </c>
      <c r="X52" s="149" t="s">
        <v>551</v>
      </c>
      <c r="Y52" s="148" t="s">
        <v>1630</v>
      </c>
      <c r="Z52" s="147" t="s">
        <v>1631</v>
      </c>
      <c r="AA52" s="147" t="s">
        <v>1603</v>
      </c>
      <c r="AB52" s="147" t="s">
        <v>11</v>
      </c>
      <c r="AC52" s="147" t="s">
        <v>1632</v>
      </c>
      <c r="AD52" s="147" t="s">
        <v>1633</v>
      </c>
      <c r="AE52" s="147">
        <v>0.0</v>
      </c>
      <c r="AF52" s="147" t="s">
        <v>1604</v>
      </c>
    </row>
    <row r="53">
      <c r="A53" s="156">
        <v>378.0</v>
      </c>
      <c r="B53" s="159" t="s">
        <v>95</v>
      </c>
      <c r="C53" s="189" t="str">
        <f>HYPERLINK("https://azurlane.koumakan.jp/Shangri-La","Shangri-La")</f>
        <v>Shangri-La</v>
      </c>
      <c r="D53" s="185" t="s">
        <v>32</v>
      </c>
      <c r="E53" s="165">
        <v>6804.0</v>
      </c>
      <c r="F53" s="165">
        <v>0.0</v>
      </c>
      <c r="G53" s="165">
        <v>0.0</v>
      </c>
      <c r="H53" s="165">
        <v>436.0</v>
      </c>
      <c r="I53" s="165">
        <v>338.0</v>
      </c>
      <c r="J53" s="165">
        <v>132.0</v>
      </c>
      <c r="K53" s="165">
        <v>56.0</v>
      </c>
      <c r="L53" s="165" t="s">
        <v>71</v>
      </c>
      <c r="M53" s="165">
        <v>33.0</v>
      </c>
      <c r="N53" s="165">
        <v>93.0</v>
      </c>
      <c r="O53" s="165">
        <v>83.0</v>
      </c>
      <c r="P53" s="165">
        <v>0.0</v>
      </c>
      <c r="Q53" s="165">
        <v>13.0</v>
      </c>
      <c r="R53" s="165">
        <v>0.0</v>
      </c>
      <c r="S53" s="165">
        <v>0.0</v>
      </c>
      <c r="T53" s="191" t="s">
        <v>37</v>
      </c>
      <c r="U53" s="351">
        <f>IFERROR(__xludf.DUMMYFUNCTION("((H53+200+REGEXMATCH(Z53,""ers"")*45+REGEXMATCH(AA53,""ers"")*45+REGEXMATCH(AB53,""ers"")*45)/100)*2* (if(ISERROR(value(left(Z53))), 0, REGEXMATCH(Z53,""Fighters"")*value(left(Z53))*10+REGEXMATCH(Z53,""Divebombers"")*value(left(Z53))*6+REGEXMATCH(Z53,""To"&amp;"rpbombers"")*value(left(Z53))*5+REGEXMATCH(Z53,""Seaplanes"")*value(left(Z53))*4)+ if(ISERROR(value(left(AA53))), 0, REGEXMATCH(AA53,""Fighters"")*value(left(AA53))*10+REGEXMATCH(AA53,""Divebombers"")*value(left(AA53))*6+REGEXMATCH(AA53,""Torpbombers"")*v"&amp;"alue(left(AA53))*5+REGEXMATCH(AA53,""Seaplanes"")*value(left(AA53))*4)+ if(ISERROR(value(left(AB53))), 0, REGEXMATCH(AB53,""Fighters"")*value(left(AB53))*10+REGEXMATCH(AB53,""Divebombers"")*value(left(AB53))*6+REGEXMATCH(AB53,""Torpbombers"")*value(left(A"&amp;"B53))*5+REGEXMATCH(AB53,""Seaplanes"")*value(left(AB53))*4))"),894.36)</f>
        <v>894.36</v>
      </c>
      <c r="V53" s="164" t="s">
        <v>1634</v>
      </c>
      <c r="W53" s="148" t="s">
        <v>1635</v>
      </c>
      <c r="X53" s="149" t="s">
        <v>551</v>
      </c>
      <c r="Y53" s="149" t="s">
        <v>551</v>
      </c>
      <c r="Z53" s="147" t="s">
        <v>1510</v>
      </c>
      <c r="AA53" s="147" t="s">
        <v>1511</v>
      </c>
      <c r="AB53" s="147" t="s">
        <v>1535</v>
      </c>
      <c r="AC53" s="147" t="s">
        <v>1636</v>
      </c>
      <c r="AD53" s="147" t="s">
        <v>1559</v>
      </c>
      <c r="AE53" s="147" t="s">
        <v>1513</v>
      </c>
      <c r="AF53" s="147" t="s">
        <v>1598</v>
      </c>
    </row>
    <row r="54">
      <c r="A54" s="156">
        <v>380.0</v>
      </c>
      <c r="B54" s="159" t="s">
        <v>95</v>
      </c>
      <c r="C54" s="189" t="str">
        <f>HYPERLINK("https://azurlane.koumakan.jp/Bunker_Hill","Bunker Hill")</f>
        <v>Bunker Hill</v>
      </c>
      <c r="D54" s="185" t="s">
        <v>32</v>
      </c>
      <c r="E54" s="165">
        <v>6767.0</v>
      </c>
      <c r="F54" s="165">
        <v>0.0</v>
      </c>
      <c r="G54" s="165">
        <v>0.0</v>
      </c>
      <c r="H54" s="165">
        <v>430.0</v>
      </c>
      <c r="I54" s="165">
        <v>316.0</v>
      </c>
      <c r="J54" s="165">
        <v>132.0</v>
      </c>
      <c r="K54" s="165">
        <v>56.0</v>
      </c>
      <c r="L54" s="165" t="s">
        <v>71</v>
      </c>
      <c r="M54" s="165">
        <v>33.0</v>
      </c>
      <c r="N54" s="165">
        <v>85.0</v>
      </c>
      <c r="O54" s="165">
        <v>35.0</v>
      </c>
      <c r="P54" s="165">
        <v>0.0</v>
      </c>
      <c r="Q54" s="165">
        <v>13.0</v>
      </c>
      <c r="R54" s="165">
        <v>0.0</v>
      </c>
      <c r="S54" s="165">
        <v>0.0</v>
      </c>
      <c r="T54" s="160" t="s">
        <v>37</v>
      </c>
      <c r="U54" s="339">
        <f>IFERROR(__xludf.DUMMYFUNCTION("((H54+200+REGEXMATCH(Z54,""ers"")*45+REGEXMATCH(AA54,""ers"")*45+REGEXMATCH(AB54,""ers"")*45)/100)*2* (if(ISERROR(value(left(Z54))), 0, REGEXMATCH(Z54,""Fighters"")*value(left(Z54))*10+REGEXMATCH(Z54,""Divebombers"")*value(left(Z54))*6+REGEXMATCH(Z54,""To"&amp;"rpbombers"")*value(left(Z54))*5+REGEXMATCH(Z54,""Seaplanes"")*value(left(Z54))*4)+ if(ISERROR(value(left(AA54))), 0, REGEXMATCH(AA54,""Fighters"")*value(left(AA54))*10+REGEXMATCH(AA54,""Divebombers"")*value(left(AA54))*6+REGEXMATCH(AA54,""Torpbombers"")*v"&amp;"alue(left(AA54))*5+REGEXMATCH(AA54,""Seaplanes"")*value(left(AA54))*4)+ if(ISERROR(value(left(AB54))), 0, REGEXMATCH(AB54,""Fighters"")*value(left(AB54))*10+REGEXMATCH(AB54,""Divebombers"")*value(left(AB54))*6+REGEXMATCH(AB54,""Torpbombers"")*value(left(A"&amp;"B54))*5+REGEXMATCH(AB54,""Seaplanes"")*value(left(AB54))*4))"),887.4000000000001)</f>
        <v>887.4</v>
      </c>
      <c r="V54" s="148" t="s">
        <v>1637</v>
      </c>
      <c r="W54" s="164" t="s">
        <v>1638</v>
      </c>
      <c r="X54" s="149" t="s">
        <v>551</v>
      </c>
      <c r="Y54" s="149" t="s">
        <v>551</v>
      </c>
      <c r="Z54" s="147" t="s">
        <v>1510</v>
      </c>
      <c r="AA54" s="147" t="s">
        <v>1511</v>
      </c>
      <c r="AB54" s="147" t="s">
        <v>1535</v>
      </c>
      <c r="AC54" s="147" t="s">
        <v>1636</v>
      </c>
      <c r="AD54" s="147" t="s">
        <v>1559</v>
      </c>
      <c r="AE54" s="147" t="s">
        <v>1513</v>
      </c>
      <c r="AF54" s="147" t="s">
        <v>1598</v>
      </c>
    </row>
    <row r="55">
      <c r="A55" s="156">
        <v>384.0</v>
      </c>
      <c r="B55" s="159" t="s">
        <v>95</v>
      </c>
      <c r="C55" s="189" t="str">
        <f>HYPERLINK("https://azurlane.koumakan.jp/Akagi-chan","Akagi-chan")</f>
        <v>Akagi-chan</v>
      </c>
      <c r="D55" s="185" t="s">
        <v>28</v>
      </c>
      <c r="E55" s="144">
        <v>6395.0</v>
      </c>
      <c r="F55" s="144">
        <v>0.0</v>
      </c>
      <c r="G55" s="144">
        <v>0.0</v>
      </c>
      <c r="H55" s="144">
        <v>399.0</v>
      </c>
      <c r="I55" s="144">
        <v>318.0</v>
      </c>
      <c r="J55" s="144">
        <v>126.0</v>
      </c>
      <c r="K55" s="144">
        <v>56.0</v>
      </c>
      <c r="L55" s="144" t="s">
        <v>71</v>
      </c>
      <c r="M55" s="144">
        <v>31.0</v>
      </c>
      <c r="N55" s="144">
        <v>92.0</v>
      </c>
      <c r="O55" s="144">
        <v>42.0</v>
      </c>
      <c r="P55" s="144">
        <v>0.0</v>
      </c>
      <c r="Q55" s="144">
        <v>12.0</v>
      </c>
      <c r="R55" s="144">
        <v>0.0</v>
      </c>
      <c r="S55" s="144">
        <v>0.0</v>
      </c>
      <c r="T55" s="160" t="s">
        <v>143</v>
      </c>
      <c r="U55" s="352">
        <f>IFERROR(__xludf.DUMMYFUNCTION("((H55+200+REGEXMATCH(Z55,""ers"")*45+REGEXMATCH(AA55,""ers"")*45+REGEXMATCH(AB55,""ers"")*45)/100)*2* (if(ISERROR(value(left(Z55))), 0, REGEXMATCH(Z55,""Fighters"")*value(left(Z55))*10+REGEXMATCH(Z55,""Divebombers"")*value(left(Z55))*6+REGEXMATCH(Z55,""To"&amp;"rpbombers"")*value(left(Z55))*5+REGEXMATCH(Z55,""Seaplanes"")*value(left(Z55))*4)+ if(ISERROR(value(left(AA55))), 0, REGEXMATCH(AA55,""Fighters"")*value(left(AA55))*10+REGEXMATCH(AA55,""Divebombers"")*value(left(AA55))*6+REGEXMATCH(AA55,""Torpbombers"")*v"&amp;"alue(left(AA55))*5+REGEXMATCH(AA55,""Seaplanes"")*value(left(AA55))*4)+ if(ISERROR(value(left(AB55))), 0, REGEXMATCH(AB55,""Fighters"")*value(left(AB55))*10+REGEXMATCH(AB55,""Divebombers"")*value(left(AB55))*6+REGEXMATCH(AB55,""Torpbombers"")*value(left(A"&amp;"B55))*5+REGEXMATCH(AB55,""Seaplanes"")*value(left(AB55))*4))"),836.76)</f>
        <v>836.76</v>
      </c>
      <c r="V55" s="164" t="s">
        <v>1639</v>
      </c>
      <c r="W55" s="148" t="s">
        <v>1640</v>
      </c>
      <c r="X55" s="149" t="s">
        <v>551</v>
      </c>
      <c r="Y55" s="149" t="s">
        <v>551</v>
      </c>
      <c r="Z55" s="147" t="s">
        <v>1510</v>
      </c>
      <c r="AA55" s="147" t="s">
        <v>1520</v>
      </c>
      <c r="AB55" s="147" t="s">
        <v>1547</v>
      </c>
      <c r="AC55" s="147" t="s">
        <v>1641</v>
      </c>
      <c r="AD55" s="147" t="s">
        <v>1543</v>
      </c>
      <c r="AE55" s="147" t="s">
        <v>1598</v>
      </c>
      <c r="AF55" s="147" t="s">
        <v>1543</v>
      </c>
    </row>
    <row r="56">
      <c r="A56" s="156">
        <v>385.0</v>
      </c>
      <c r="B56" s="159" t="s">
        <v>95</v>
      </c>
      <c r="C56" s="189" t="str">
        <f>HYPERLINK("https://azurlane.koumakan.jp/Zeppy","Zeppy")</f>
        <v>Zeppy</v>
      </c>
      <c r="D56" s="185" t="s">
        <v>28</v>
      </c>
      <c r="E56" s="144">
        <v>7142.0</v>
      </c>
      <c r="F56" s="144">
        <v>177.0</v>
      </c>
      <c r="G56" s="144">
        <v>0.0</v>
      </c>
      <c r="H56" s="144">
        <v>381.0</v>
      </c>
      <c r="I56" s="144">
        <v>314.0</v>
      </c>
      <c r="J56" s="144">
        <v>112.0</v>
      </c>
      <c r="K56" s="144">
        <v>57.0</v>
      </c>
      <c r="L56" s="144" t="s">
        <v>71</v>
      </c>
      <c r="M56" s="144">
        <v>33.0</v>
      </c>
      <c r="N56" s="144">
        <v>87.0</v>
      </c>
      <c r="O56" s="144">
        <v>45.0</v>
      </c>
      <c r="P56" s="144">
        <v>0.0</v>
      </c>
      <c r="Q56" s="144">
        <v>12.0</v>
      </c>
      <c r="R56" s="144">
        <v>0.0</v>
      </c>
      <c r="S56" s="144">
        <v>0.0</v>
      </c>
      <c r="T56" s="160" t="s">
        <v>193</v>
      </c>
      <c r="U56" s="353">
        <f>IFERROR(__xludf.DUMMYFUNCTION("((H56+200+REGEXMATCH(Z56,""ers"")*45+REGEXMATCH(AA56,""ers"")*45+REGEXMATCH(AB56,""ers"")*45)/100)*2* (if(ISERROR(value(left(Z56))), 0, REGEXMATCH(Z56,""Fighters"")*value(left(Z56))*10+REGEXMATCH(Z56,""Divebombers"")*value(left(Z56))*6+REGEXMATCH(Z56,""To"&amp;"rpbombers"")*value(left(Z56))*5+REGEXMATCH(Z56,""Seaplanes"")*value(left(Z56))*4)+ if(ISERROR(value(left(AA56))), 0, REGEXMATCH(AA56,""Fighters"")*value(left(AA56))*10+REGEXMATCH(AA56,""Divebombers"")*value(left(AA56))*6+REGEXMATCH(AA56,""Torpbombers"")*v"&amp;"alue(left(AA56))*5+REGEXMATCH(AA56,""Seaplanes"")*value(left(AA56))*4)+ if(ISERROR(value(left(AB56))), 0, REGEXMATCH(AB56,""Fighters"")*value(left(AB56))*10+REGEXMATCH(AB56,""Divebombers"")*value(left(AB56))*6+REGEXMATCH(AB56,""Torpbombers"")*value(left(A"&amp;"B56))*5+REGEXMATCH(AB56,""Seaplanes"")*value(left(AB56))*4))"),687.36)</f>
        <v>687.36</v>
      </c>
      <c r="V56" s="164" t="s">
        <v>1642</v>
      </c>
      <c r="W56" s="148" t="s">
        <v>1643</v>
      </c>
      <c r="X56" s="149" t="s">
        <v>551</v>
      </c>
      <c r="Y56" s="149" t="s">
        <v>551</v>
      </c>
      <c r="Z56" s="147" t="s">
        <v>1510</v>
      </c>
      <c r="AA56" s="147" t="s">
        <v>1511</v>
      </c>
      <c r="AB56" s="147" t="s">
        <v>1555</v>
      </c>
      <c r="AC56" s="147" t="s">
        <v>1644</v>
      </c>
      <c r="AD56" s="147" t="s">
        <v>1645</v>
      </c>
      <c r="AE56" s="147" t="s">
        <v>1646</v>
      </c>
      <c r="AF56" s="147">
        <v>0.0</v>
      </c>
    </row>
    <row r="57">
      <c r="A57" s="182">
        <v>403.0</v>
      </c>
      <c r="B57" s="183" t="s">
        <v>91</v>
      </c>
      <c r="C57" s="152" t="str">
        <f>HYPERLINK("https://azurlane.koumakan.jp/Bataan","Bataan")</f>
        <v>Bataan</v>
      </c>
      <c r="D57" s="170" t="s">
        <v>28</v>
      </c>
      <c r="E57" s="170">
        <v>5127.0</v>
      </c>
      <c r="F57" s="170">
        <v>0.0</v>
      </c>
      <c r="G57" s="170">
        <v>0.0</v>
      </c>
      <c r="H57" s="170">
        <v>352.0</v>
      </c>
      <c r="I57" s="170">
        <v>282.0</v>
      </c>
      <c r="J57" s="170">
        <v>202.0</v>
      </c>
      <c r="K57" s="170">
        <v>85.0</v>
      </c>
      <c r="L57" s="170" t="s">
        <v>71</v>
      </c>
      <c r="M57" s="170">
        <v>31.0</v>
      </c>
      <c r="N57" s="170">
        <v>92.0</v>
      </c>
      <c r="O57" s="191">
        <v>65.0</v>
      </c>
      <c r="P57" s="170">
        <v>73.0</v>
      </c>
      <c r="Q57" s="170">
        <v>11.0</v>
      </c>
      <c r="R57" s="170">
        <v>0.0</v>
      </c>
      <c r="S57" s="170">
        <v>0.0</v>
      </c>
      <c r="T57" s="147" t="s">
        <v>37</v>
      </c>
      <c r="U57" s="336">
        <f>IFERROR(__xludf.DUMMYFUNCTION("((H57+200+REGEXMATCH(Z57,""ers"")*45+REGEXMATCH(AA57,""ers"")*45+REGEXMATCH(AB57,""ers"")*45)/100)*2* (if(ISERROR(value(left(Z57))), 0, REGEXMATCH(Z57,""Fighters"")*value(left(Z57))*10+REGEXMATCH(Z57,""Divebombers"")*value(left(Z57))*6+REGEXMATCH(Z57,""To"&amp;"rpbombers"")*value(left(Z57))*5+REGEXMATCH(Z57,""Seaplanes"")*value(left(Z57))*4)+ if(ISERROR(value(left(AA57))), 0, REGEXMATCH(AA57,""Fighters"")*value(left(AA57))*10+REGEXMATCH(AA57,""Divebombers"")*value(left(AA57))*6+REGEXMATCH(AA57,""Torpbombers"")*v"&amp;"alue(left(AA57))*5+REGEXMATCH(AA57,""Seaplanes"")*value(left(AA57))*4)+ if(ISERROR(value(left(AB57))), 0, REGEXMATCH(AB57,""Fighters"")*value(left(AB57))*10+REGEXMATCH(AB57,""Divebombers"")*value(left(AB57))*6+REGEXMATCH(AB57,""Torpbombers"")*value(left(A"&amp;"B57))*5+REGEXMATCH(AB57,""Seaplanes"")*value(left(AB57))*4))"),577.8)</f>
        <v>577.8</v>
      </c>
      <c r="V57" s="164" t="s">
        <v>1647</v>
      </c>
      <c r="W57" s="148" t="s">
        <v>1648</v>
      </c>
      <c r="X57" s="149" t="s">
        <v>551</v>
      </c>
      <c r="Y57" s="149" t="s">
        <v>551</v>
      </c>
      <c r="Z57" s="147" t="s">
        <v>1510</v>
      </c>
      <c r="AA57" s="147" t="s">
        <v>1547</v>
      </c>
      <c r="AB57" s="147" t="s">
        <v>11</v>
      </c>
      <c r="AC57" s="147" t="s">
        <v>1649</v>
      </c>
      <c r="AD57" s="147" t="s">
        <v>1543</v>
      </c>
      <c r="AE57" s="147">
        <v>0.0</v>
      </c>
      <c r="AF57" s="147" t="s">
        <v>1650</v>
      </c>
    </row>
    <row r="58">
      <c r="A58" s="182">
        <v>419.0</v>
      </c>
      <c r="B58" s="183" t="s">
        <v>95</v>
      </c>
      <c r="C58" s="152" t="s">
        <v>276</v>
      </c>
      <c r="D58" s="170" t="s">
        <v>32</v>
      </c>
      <c r="E58" s="170">
        <v>6692.0</v>
      </c>
      <c r="F58" s="170">
        <v>0.0</v>
      </c>
      <c r="G58" s="170">
        <v>0.0</v>
      </c>
      <c r="H58" s="170">
        <v>413.0</v>
      </c>
      <c r="I58" s="170">
        <v>330.0</v>
      </c>
      <c r="J58" s="170">
        <v>132.0</v>
      </c>
      <c r="K58" s="170">
        <v>56.0</v>
      </c>
      <c r="L58" s="170" t="s">
        <v>71</v>
      </c>
      <c r="M58" s="170">
        <v>31.0</v>
      </c>
      <c r="N58" s="170">
        <v>92.0</v>
      </c>
      <c r="O58" s="191">
        <v>42.0</v>
      </c>
      <c r="P58" s="170">
        <v>0.0</v>
      </c>
      <c r="Q58" s="170">
        <v>13.0</v>
      </c>
      <c r="R58" s="170">
        <v>0.0</v>
      </c>
      <c r="S58" s="170">
        <v>0.0</v>
      </c>
      <c r="T58" s="170" t="s">
        <v>143</v>
      </c>
      <c r="U58" s="310">
        <f>IFERROR(__xludf.DUMMYFUNCTION("((H58+200+REGEXMATCH(Z58,""ers"")*45+REGEXMATCH(AA58,""ers"")*45+REGEXMATCH(AB58,""ers"")*45)/100)*2* (if(ISERROR(value(left(Z58))), 0, REGEXMATCH(Z58,""Fighters"")*value(left(Z58))*10+REGEXMATCH(Z58,""Divebombers"")*value(left(Z58))*6+REGEXMATCH(Z58,""To"&amp;"rpbombers"")*value(left(Z58))*5+REGEXMATCH(Z58,""Seaplanes"")*value(left(Z58))*4)+ if(ISERROR(value(left(AA58))), 0, REGEXMATCH(AA58,""Fighters"")*value(left(AA58))*10+REGEXMATCH(AA58,""Divebombers"")*value(left(AA58))*6+REGEXMATCH(AA58,""Torpbombers"")*v"&amp;"alue(left(AA58))*5+REGEXMATCH(AA58,""Seaplanes"")*value(left(AA58))*4)+ if(ISERROR(value(left(AB58))), 0, REGEXMATCH(AB58,""Fighters"")*value(left(AB58))*10+REGEXMATCH(AB58,""Divebombers"")*value(left(AB58))*6+REGEXMATCH(AB58,""Torpbombers"")*value(left(A"&amp;"B58))*5+REGEXMATCH(AB58,""Seaplanes"")*value(left(AB58))*4))"),852.72)</f>
        <v>852.72</v>
      </c>
      <c r="V58" s="164" t="s">
        <v>1651</v>
      </c>
      <c r="W58" s="148" t="s">
        <v>1652</v>
      </c>
      <c r="X58" s="149" t="s">
        <v>551</v>
      </c>
      <c r="Y58" s="149" t="s">
        <v>551</v>
      </c>
      <c r="Z58" s="147" t="s">
        <v>1510</v>
      </c>
      <c r="AA58" s="147" t="s">
        <v>1520</v>
      </c>
      <c r="AB58" s="147" t="s">
        <v>1547</v>
      </c>
      <c r="AC58" s="147" t="s">
        <v>1542</v>
      </c>
      <c r="AD58" s="147" t="s">
        <v>1543</v>
      </c>
      <c r="AE58" s="147" t="s">
        <v>1533</v>
      </c>
      <c r="AF58" s="147" t="s">
        <v>1543</v>
      </c>
    </row>
    <row r="59">
      <c r="A59" s="182">
        <v>426.0</v>
      </c>
      <c r="B59" s="183" t="s">
        <v>91</v>
      </c>
      <c r="C59" s="354" t="str">
        <f>HYPERLINK("https://azurlane.koumakan.jp/Ryuuhou","Ryuuhou")</f>
        <v>Ryuuhou</v>
      </c>
      <c r="D59" s="170" t="s">
        <v>32</v>
      </c>
      <c r="E59" s="170">
        <v>5105.0</v>
      </c>
      <c r="F59" s="170">
        <v>0.0</v>
      </c>
      <c r="G59" s="170">
        <v>0.0</v>
      </c>
      <c r="H59" s="170">
        <v>321.0</v>
      </c>
      <c r="I59" s="170">
        <v>282.0</v>
      </c>
      <c r="J59" s="170">
        <v>191.0</v>
      </c>
      <c r="K59" s="170">
        <v>71.0</v>
      </c>
      <c r="L59" s="170" t="s">
        <v>71</v>
      </c>
      <c r="M59" s="170">
        <v>26.0</v>
      </c>
      <c r="N59" s="170">
        <v>86.0</v>
      </c>
      <c r="O59" s="191">
        <v>70.0</v>
      </c>
      <c r="P59" s="170">
        <v>114.0</v>
      </c>
      <c r="Q59" s="170">
        <v>12.0</v>
      </c>
      <c r="R59" s="355">
        <v>0.0</v>
      </c>
      <c r="S59" s="355">
        <v>0.0</v>
      </c>
      <c r="T59" s="355" t="s">
        <v>143</v>
      </c>
      <c r="U59" s="323">
        <f>IFERROR(__xludf.DUMMYFUNCTION("((H59+200+REGEXMATCH(Z59,""ers"")*45+REGEXMATCH(AA59,""ers"")*45+REGEXMATCH(AB59,""ers"")*45)/100)*2* (if(ISERROR(value(left(Z59))), 0, REGEXMATCH(Z59,""Fighters"")*value(left(Z59))*10+REGEXMATCH(Z59,""Divebombers"")*value(left(Z59))*6+REGEXMATCH(Z59,""To"&amp;"rpbombers"")*value(left(Z59))*5+REGEXMATCH(Z59,""Seaplanes"")*value(left(Z59))*4)+ if(ISERROR(value(left(AA59))), 0, REGEXMATCH(AA59,""Fighters"")*value(left(AA59))*10+REGEXMATCH(AA59,""Divebombers"")*value(left(AA59))*6+REGEXMATCH(AA59,""Torpbombers"")*v"&amp;"alue(left(AA59))*5+REGEXMATCH(AA59,""Seaplanes"")*value(left(AA59))*4)+ if(ISERROR(value(left(AB59))), 0, REGEXMATCH(AB59,""Fighters"")*value(left(AB59))*10+REGEXMATCH(AB59,""Divebombers"")*value(left(AB59))*6+REGEXMATCH(AB59,""Torpbombers"")*value(left(A"&amp;"B59))*5+REGEXMATCH(AB59,""Seaplanes"")*value(left(AB59))*4))"),549.9)</f>
        <v>549.9</v>
      </c>
      <c r="V59" s="325" t="s">
        <v>146</v>
      </c>
      <c r="W59" s="345" t="s">
        <v>1653</v>
      </c>
      <c r="X59" s="147" t="s">
        <v>551</v>
      </c>
      <c r="Y59" s="147" t="s">
        <v>551</v>
      </c>
      <c r="Z59" s="147" t="s">
        <v>1510</v>
      </c>
      <c r="AA59" s="147" t="s">
        <v>1547</v>
      </c>
      <c r="AB59" s="147" t="s">
        <v>11</v>
      </c>
      <c r="AC59" s="147" t="s">
        <v>1589</v>
      </c>
      <c r="AD59" s="147" t="s">
        <v>1513</v>
      </c>
      <c r="AE59" s="147">
        <v>0.0</v>
      </c>
      <c r="AF59" s="147" t="s">
        <v>1516</v>
      </c>
    </row>
    <row r="60">
      <c r="A60" s="156">
        <v>442.0</v>
      </c>
      <c r="B60" s="265" t="s">
        <v>95</v>
      </c>
      <c r="C60" s="197" t="str">
        <f>HYPERLINK("https://azurlane.koumakan.jp/Intrepid","Intrepid")</f>
        <v>Intrepid</v>
      </c>
      <c r="D60" s="144" t="s">
        <v>32</v>
      </c>
      <c r="E60" s="260">
        <v>6792.0</v>
      </c>
      <c r="F60" s="260">
        <v>0.0</v>
      </c>
      <c r="G60" s="260">
        <v>0.0</v>
      </c>
      <c r="H60" s="260">
        <v>436.0</v>
      </c>
      <c r="I60" s="260">
        <v>338.0</v>
      </c>
      <c r="J60" s="260">
        <v>132.0</v>
      </c>
      <c r="K60" s="260">
        <v>56.0</v>
      </c>
      <c r="L60" s="260" t="s">
        <v>71</v>
      </c>
      <c r="M60" s="260">
        <v>33.0</v>
      </c>
      <c r="N60" s="175">
        <v>87.0</v>
      </c>
      <c r="O60" s="175">
        <v>68.0</v>
      </c>
      <c r="P60" s="260">
        <v>0.0</v>
      </c>
      <c r="Q60" s="160">
        <v>13.0</v>
      </c>
      <c r="R60" s="260">
        <v>0.0</v>
      </c>
      <c r="S60" s="260">
        <v>0.0</v>
      </c>
      <c r="T60" s="147" t="s">
        <v>37</v>
      </c>
      <c r="U60" s="323">
        <f>IFERROR(__xludf.DUMMYFUNCTION("((H60+200+REGEXMATCH(Z60,""ers"")*45+REGEXMATCH(AA60,""ers"")*45+REGEXMATCH(AB60,""ers"")*45)/100)*2* (if(ISERROR(value(left(Z60))), 0, REGEXMATCH(Z60,""Fighters"")*value(left(Z60))*10+REGEXMATCH(Z60,""Divebombers"")*value(left(Z60))*6+REGEXMATCH(Z60,""To"&amp;"rpbombers"")*value(left(Z60))*5+REGEXMATCH(Z60,""Seaplanes"")*value(left(Z60))*4)+ if(ISERROR(value(left(AA60))), 0, REGEXMATCH(AA60,""Fighters"")*value(left(AA60))*10+REGEXMATCH(AA60,""Divebombers"")*value(left(AA60))*6+REGEXMATCH(AA60,""Torpbombers"")*v"&amp;"alue(left(AA60))*5+REGEXMATCH(AA60,""Seaplanes"")*value(left(AA60))*4)+ if(ISERROR(value(left(AB60))), 0, REGEXMATCH(AB60,""Fighters"")*value(left(AB60))*10+REGEXMATCH(AB60,""Divebombers"")*value(left(AB60))*6+REGEXMATCH(AB60,""Torpbombers"")*value(left(A"&amp;"B60))*5+REGEXMATCH(AB60,""Seaplanes"")*value(left(AB60))*4))"),894.36)</f>
        <v>894.36</v>
      </c>
      <c r="V60" s="179" t="s">
        <v>1654</v>
      </c>
      <c r="W60" s="325" t="s">
        <v>1655</v>
      </c>
      <c r="X60" s="345" t="s">
        <v>1656</v>
      </c>
      <c r="Y60" s="147" t="s">
        <v>551</v>
      </c>
      <c r="Z60" s="261" t="s">
        <v>1510</v>
      </c>
      <c r="AA60" s="261" t="s">
        <v>1511</v>
      </c>
      <c r="AB60" s="261" t="s">
        <v>1535</v>
      </c>
      <c r="AC60" s="147" t="s">
        <v>1626</v>
      </c>
      <c r="AD60" s="147" t="s">
        <v>1559</v>
      </c>
      <c r="AE60" s="147" t="s">
        <v>1513</v>
      </c>
      <c r="AF60" s="147" t="s">
        <v>1530</v>
      </c>
    </row>
    <row r="61">
      <c r="A61" s="156">
        <v>447.0</v>
      </c>
      <c r="B61" s="259" t="s">
        <v>91</v>
      </c>
      <c r="C61" s="152" t="str">
        <f>HYPERLINK("https://azurlane.koumakan.jp/Casablanca","Casablanca")</f>
        <v>Casablanca</v>
      </c>
      <c r="D61" s="158" t="s">
        <v>36</v>
      </c>
      <c r="E61" s="261">
        <v>4822.0</v>
      </c>
      <c r="F61" s="261">
        <v>0.0</v>
      </c>
      <c r="G61" s="261">
        <v>0.0</v>
      </c>
      <c r="H61" s="261">
        <v>290.0</v>
      </c>
      <c r="I61" s="261">
        <v>264.0</v>
      </c>
      <c r="J61" s="261">
        <v>196.0</v>
      </c>
      <c r="K61" s="261">
        <v>64.0</v>
      </c>
      <c r="L61" s="261" t="s">
        <v>71</v>
      </c>
      <c r="M61" s="261">
        <v>19.0</v>
      </c>
      <c r="N61" s="154">
        <v>75.0</v>
      </c>
      <c r="O61" s="175">
        <v>65.0</v>
      </c>
      <c r="P61" s="261">
        <v>119.0</v>
      </c>
      <c r="Q61" s="147">
        <v>10.0</v>
      </c>
      <c r="R61" s="261">
        <v>0.0</v>
      </c>
      <c r="S61" s="261">
        <v>0.0</v>
      </c>
      <c r="T61" s="147" t="s">
        <v>37</v>
      </c>
      <c r="U61" s="323">
        <f>IFERROR(__xludf.DUMMYFUNCTION("((H61+200+REGEXMATCH(Z61,""ers"")*45+REGEXMATCH(AA61,""ers"")*45+REGEXMATCH(AB61,""ers"")*45)/100)*2* (if(ISERROR(value(left(Z61))), 0, REGEXMATCH(Z61,""Fighters"")*value(left(Z61))*10+REGEXMATCH(Z61,""Divebombers"")*value(left(Z61))*6+REGEXMATCH(Z61,""To"&amp;"rpbombers"")*value(left(Z61))*5+REGEXMATCH(Z61,""Seaplanes"")*value(left(Z61))*4)+ if(ISERROR(value(left(AA61))), 0, REGEXMATCH(AA61,""Fighters"")*value(left(AA61))*10+REGEXMATCH(AA61,""Divebombers"")*value(left(AA61))*6+REGEXMATCH(AA61,""Torpbombers"")*v"&amp;"alue(left(AA61))*5+REGEXMATCH(AA61,""Seaplanes"")*value(left(AA61))*4)+ if(ISERROR(value(left(AB61))), 0, REGEXMATCH(AB61,""Fighters"")*value(left(AB61))*10+REGEXMATCH(AB61,""Divebombers"")*value(left(AB61))*6+REGEXMATCH(AB61,""Torpbombers"")*value(left(A"&amp;"B61))*5+REGEXMATCH(AB61,""Seaplanes"")*value(left(AB61))*4))"),522.0)</f>
        <v>522</v>
      </c>
      <c r="V61" s="164" t="s">
        <v>1509</v>
      </c>
      <c r="W61" s="325" t="s">
        <v>1571</v>
      </c>
      <c r="X61" s="147" t="s">
        <v>551</v>
      </c>
      <c r="Y61" s="147" t="s">
        <v>551</v>
      </c>
      <c r="Z61" s="147" t="s">
        <v>1510</v>
      </c>
      <c r="AA61" s="147" t="s">
        <v>1547</v>
      </c>
      <c r="AB61" s="147" t="s">
        <v>11</v>
      </c>
      <c r="AC61" s="147" t="s">
        <v>1657</v>
      </c>
      <c r="AD61" s="147" t="s">
        <v>1557</v>
      </c>
      <c r="AE61" s="147">
        <v>0.0</v>
      </c>
      <c r="AF61" s="147" t="s">
        <v>1557</v>
      </c>
    </row>
    <row r="62">
      <c r="A62" s="182">
        <v>458.0</v>
      </c>
      <c r="B62" s="183" t="s">
        <v>95</v>
      </c>
      <c r="C62" s="356" t="s">
        <v>308</v>
      </c>
      <c r="D62" s="170" t="s">
        <v>28</v>
      </c>
      <c r="E62" s="170">
        <v>6407.0</v>
      </c>
      <c r="F62" s="170">
        <v>177.0</v>
      </c>
      <c r="G62" s="170">
        <v>259.0</v>
      </c>
      <c r="H62" s="170">
        <v>381.0</v>
      </c>
      <c r="I62" s="170">
        <v>314.0</v>
      </c>
      <c r="J62" s="170">
        <v>112.0</v>
      </c>
      <c r="K62" s="170">
        <v>37.0</v>
      </c>
      <c r="L62" s="170" t="s">
        <v>71</v>
      </c>
      <c r="M62" s="170">
        <v>21.0</v>
      </c>
      <c r="N62" s="170">
        <v>87.0</v>
      </c>
      <c r="O62" s="191">
        <v>42.0</v>
      </c>
      <c r="P62" s="170">
        <v>0.0</v>
      </c>
      <c r="Q62" s="170">
        <v>12.0</v>
      </c>
      <c r="R62" s="170">
        <v>0.0</v>
      </c>
      <c r="S62" s="170">
        <v>0.0</v>
      </c>
      <c r="T62" s="170" t="s">
        <v>243</v>
      </c>
      <c r="U62" s="323">
        <f>IFERROR(__xludf.DUMMYFUNCTION("((H62+200+REGEXMATCH(Z62,""ers"")*45+REGEXMATCH(AA62,""ers"")*45+REGEXMATCH(AB62,""ers"")*45)/100)*2* (if(ISERROR(value(left(Z62))), 0, REGEXMATCH(Z62,""Fighters"")*value(left(Z62))*10+REGEXMATCH(Z62,""Divebombers"")*value(left(Z62))*6+REGEXMATCH(Z62,""To"&amp;"rpbombers"")*value(left(Z62))*5+REGEXMATCH(Z62,""Seaplanes"")*value(left(Z62))*4)+ if(ISERROR(value(left(AA62))), 0, REGEXMATCH(AA62,""Fighters"")*value(left(AA62))*10+REGEXMATCH(AA62,""Divebombers"")*value(left(AA62))*6+REGEXMATCH(AA62,""Torpbombers"")*v"&amp;"alue(left(AA62))*5+REGEXMATCH(AA62,""Seaplanes"")*value(left(AA62))*4)+ if(ISERROR(value(left(AB62))), 0, REGEXMATCH(AB62,""Fighters"")*value(left(AB62))*10+REGEXMATCH(AB62,""Divebombers"")*value(left(AB62))*6+REGEXMATCH(AB62,""Torpbombers"")*value(left(A"&amp;"B62))*5+REGEXMATCH(AB62,""Seaplanes"")*value(left(AB62))*4))"),644.4)</f>
        <v>644.4</v>
      </c>
      <c r="V62" s="179" t="s">
        <v>1658</v>
      </c>
      <c r="W62" s="179" t="s">
        <v>1659</v>
      </c>
      <c r="X62" s="149" t="s">
        <v>551</v>
      </c>
      <c r="Y62" s="149" t="s">
        <v>551</v>
      </c>
      <c r="Z62" s="147" t="s">
        <v>1510</v>
      </c>
      <c r="AA62" s="147" t="s">
        <v>1547</v>
      </c>
      <c r="AB62" s="147" t="s">
        <v>1555</v>
      </c>
      <c r="AC62" s="147" t="s">
        <v>1556</v>
      </c>
      <c r="AD62" s="147" t="s">
        <v>1557</v>
      </c>
      <c r="AE62" s="147" t="s">
        <v>1558</v>
      </c>
      <c r="AF62" s="147" t="s">
        <v>1559</v>
      </c>
    </row>
    <row r="63">
      <c r="A63" s="141">
        <v>459.0</v>
      </c>
      <c r="B63" s="142" t="s">
        <v>95</v>
      </c>
      <c r="C63" s="143" t="s">
        <v>310</v>
      </c>
      <c r="D63" s="142" t="s">
        <v>28</v>
      </c>
      <c r="E63" s="145">
        <v>6084.0</v>
      </c>
      <c r="F63" s="145">
        <v>0.0</v>
      </c>
      <c r="G63" s="145">
        <v>0.0</v>
      </c>
      <c r="H63" s="145">
        <v>385.0</v>
      </c>
      <c r="I63" s="145">
        <v>272.0</v>
      </c>
      <c r="J63" s="145">
        <v>112.0</v>
      </c>
      <c r="K63" s="145">
        <v>55.0</v>
      </c>
      <c r="L63" s="145" t="s">
        <v>83</v>
      </c>
      <c r="M63" s="145">
        <v>30.0</v>
      </c>
      <c r="N63" s="145">
        <v>87.0</v>
      </c>
      <c r="O63" s="165">
        <v>44.0</v>
      </c>
      <c r="P63" s="145">
        <v>0.0</v>
      </c>
      <c r="Q63" s="145">
        <v>12.0</v>
      </c>
      <c r="R63" s="145">
        <v>0.0</v>
      </c>
      <c r="S63" s="145">
        <v>0.0</v>
      </c>
      <c r="T63" s="147" t="s">
        <v>104</v>
      </c>
      <c r="U63" s="326">
        <f>IFERROR(__xludf.DUMMYFUNCTION("((H63+200+REGEXMATCH(Z63,""ers"")*45+REGEXMATCH(AA63,""ers"")*45+REGEXMATCH(AB63,""ers"")*45)/100)*2* (if(ISERROR(value(left(Z63))), 0, REGEXMATCH(Z63,""Fighters"")*value(left(Z63))*10+REGEXMATCH(Z63,""Divebombers"")*value(left(Z63))*6+REGEXMATCH(Z63,""To"&amp;"rpbombers"")*value(left(Z63))*5+REGEXMATCH(Z63,""Seaplanes"")*value(left(Z63))*4)+ if(ISERROR(value(left(AA63))), 0, REGEXMATCH(AA63,""Fighters"")*value(left(AA63))*10+REGEXMATCH(AA63,""Divebombers"")*value(left(AA63))*6+REGEXMATCH(AA63,""Torpbombers"")*v"&amp;"alue(left(AA63))*5+REGEXMATCH(AA63,""Seaplanes"")*value(left(AA63))*4)+ if(ISERROR(value(left(AB63))), 0, REGEXMATCH(AB63,""Fighters"")*value(left(AB63))*10+REGEXMATCH(AB63,""Divebombers"")*value(left(AB63))*6+REGEXMATCH(AB63,""Torpbombers"")*value(left(A"&amp;"B63))*5+REGEXMATCH(AB63,""Seaplanes"")*value(left(AB63))*4))"),1008.0)</f>
        <v>1008</v>
      </c>
      <c r="V63" s="164" t="s">
        <v>1660</v>
      </c>
      <c r="W63" s="161" t="s">
        <v>1661</v>
      </c>
      <c r="X63" s="149" t="s">
        <v>551</v>
      </c>
      <c r="Y63" s="149" t="s">
        <v>551</v>
      </c>
      <c r="Z63" s="147" t="s">
        <v>1510</v>
      </c>
      <c r="AA63" s="147" t="s">
        <v>1510</v>
      </c>
      <c r="AB63" s="147" t="s">
        <v>1535</v>
      </c>
      <c r="AC63" s="147" t="s">
        <v>1662</v>
      </c>
      <c r="AD63" s="147" t="s">
        <v>1663</v>
      </c>
      <c r="AE63" s="147">
        <v>0.0</v>
      </c>
      <c r="AF63" s="147" t="s">
        <v>1530</v>
      </c>
    </row>
    <row r="64">
      <c r="A64" s="182">
        <v>462.0</v>
      </c>
      <c r="B64" s="183" t="s">
        <v>91</v>
      </c>
      <c r="C64" s="152" t="s">
        <v>315</v>
      </c>
      <c r="D64" s="170" t="s">
        <v>32</v>
      </c>
      <c r="E64" s="170">
        <v>5673.0</v>
      </c>
      <c r="F64" s="170">
        <v>0.0</v>
      </c>
      <c r="G64" s="170">
        <v>0.0</v>
      </c>
      <c r="H64" s="170">
        <v>331.0</v>
      </c>
      <c r="I64" s="170">
        <v>270.0</v>
      </c>
      <c r="J64" s="170">
        <v>171.0</v>
      </c>
      <c r="K64" s="170">
        <v>73.0</v>
      </c>
      <c r="L64" s="170" t="s">
        <v>71</v>
      </c>
      <c r="M64" s="170">
        <v>25.0</v>
      </c>
      <c r="N64" s="170">
        <v>89.0</v>
      </c>
      <c r="O64" s="191">
        <v>82.0</v>
      </c>
      <c r="P64" s="170">
        <v>146.0</v>
      </c>
      <c r="Q64" s="170">
        <v>12.0</v>
      </c>
      <c r="R64" s="170">
        <v>0.0</v>
      </c>
      <c r="S64" s="170">
        <v>0.0</v>
      </c>
      <c r="T64" s="170" t="s">
        <v>104</v>
      </c>
      <c r="U64" s="323">
        <f>IFERROR(__xludf.DUMMYFUNCTION("((H64+200+REGEXMATCH(Z64,""ers"")*45+REGEXMATCH(AA64,""ers"")*45+REGEXMATCH(AB64,""ers"")*45)/100)*2* (if(ISERROR(value(left(Z64))), 0, REGEXMATCH(Z64,""Fighters"")*value(left(Z64))*10+REGEXMATCH(Z64,""Divebombers"")*value(left(Z64))*6+REGEXMATCH(Z64,""To"&amp;"rpbombers"")*value(left(Z64))*5+REGEXMATCH(Z64,""Seaplanes"")*value(left(Z64))*4)+ if(ISERROR(value(left(AA64))), 0, REGEXMATCH(AA64,""Fighters"")*value(left(AA64))*10+REGEXMATCH(AA64,""Divebombers"")*value(left(AA64))*6+REGEXMATCH(AA64,""Torpbombers"")*v"&amp;"alue(left(AA64))*5+REGEXMATCH(AA64,""Seaplanes"")*value(left(AA64))*4)+ if(ISERROR(value(left(AB64))), 0, REGEXMATCH(AB64,""Fighters"")*value(left(AB64))*10+REGEXMATCH(AB64,""Divebombers"")*value(left(AB64))*6+REGEXMATCH(AB64,""Torpbombers"")*value(left(A"&amp;"B64))*5+REGEXMATCH(AB64,""Seaplanes"")*value(left(AB64))*4))"),558.9)</f>
        <v>558.9</v>
      </c>
      <c r="V64" s="345" t="s">
        <v>1664</v>
      </c>
      <c r="W64" s="179" t="s">
        <v>1665</v>
      </c>
      <c r="X64" s="325" t="s">
        <v>1666</v>
      </c>
      <c r="Y64" s="149" t="s">
        <v>551</v>
      </c>
      <c r="Z64" s="147" t="s">
        <v>1510</v>
      </c>
      <c r="AA64" s="147" t="s">
        <v>1547</v>
      </c>
      <c r="AB64" s="147" t="s">
        <v>11</v>
      </c>
      <c r="AC64" s="147" t="s">
        <v>1667</v>
      </c>
      <c r="AD64" s="147" t="s">
        <v>1668</v>
      </c>
      <c r="AE64" s="147">
        <v>0.0</v>
      </c>
      <c r="AF64" s="147" t="s">
        <v>1668</v>
      </c>
    </row>
    <row r="65">
      <c r="A65" s="156">
        <v>470.0</v>
      </c>
      <c r="B65" s="259" t="s">
        <v>91</v>
      </c>
      <c r="C65" s="152" t="s">
        <v>325</v>
      </c>
      <c r="D65" s="158" t="s">
        <v>28</v>
      </c>
      <c r="E65" s="261">
        <v>4503.0</v>
      </c>
      <c r="F65" s="261">
        <v>0.0</v>
      </c>
      <c r="G65" s="261">
        <v>0.0</v>
      </c>
      <c r="H65" s="261">
        <v>352.0</v>
      </c>
      <c r="I65" s="261">
        <v>267.0</v>
      </c>
      <c r="J65" s="261">
        <v>188.0</v>
      </c>
      <c r="K65" s="261">
        <v>74.0</v>
      </c>
      <c r="L65" s="261" t="s">
        <v>71</v>
      </c>
      <c r="M65" s="261">
        <v>29.0</v>
      </c>
      <c r="N65" s="154">
        <v>83.0</v>
      </c>
      <c r="O65" s="175">
        <v>57.0</v>
      </c>
      <c r="P65" s="261">
        <v>92.0</v>
      </c>
      <c r="Q65" s="261">
        <v>11.0</v>
      </c>
      <c r="R65" s="261">
        <v>0.0</v>
      </c>
      <c r="S65" s="261">
        <v>0.0</v>
      </c>
      <c r="T65" s="147" t="s">
        <v>143</v>
      </c>
      <c r="U65" s="323">
        <f>IFERROR(__xludf.DUMMYFUNCTION("((H65+200+REGEXMATCH(Z65,""ers"")*45+REGEXMATCH(AA65,""ers"")*45+REGEXMATCH(AB65,""ers"")*45)/100)*2* (if(ISERROR(value(left(Z65))), 0, REGEXMATCH(Z65,""Fighters"")*value(left(Z65))*10+REGEXMATCH(Z65,""Divebombers"")*value(left(Z65))*6+REGEXMATCH(Z65,""To"&amp;"rpbombers"")*value(left(Z65))*5+REGEXMATCH(Z65,""Seaplanes"")*value(left(Z65))*4)+ if(ISERROR(value(left(AA65))), 0, REGEXMATCH(AA65,""Fighters"")*value(left(AA65))*10+REGEXMATCH(AA65,""Divebombers"")*value(left(AA65))*6+REGEXMATCH(AA65,""Torpbombers"")*v"&amp;"alue(left(AA65))*5+REGEXMATCH(AA65,""Seaplanes"")*value(left(AA65))*4)+ if(ISERROR(value(left(AB65))), 0, REGEXMATCH(AB65,""Fighters"")*value(left(AB65))*10+REGEXMATCH(AB65,""Divebombers"")*value(left(AB65))*6+REGEXMATCH(AB65,""Torpbombers"")*value(left(A"&amp;"B65))*5+REGEXMATCH(AB65,""Seaplanes"")*value(left(AB65))*4))"),577.8)</f>
        <v>577.8</v>
      </c>
      <c r="V65" s="179" t="s">
        <v>1669</v>
      </c>
      <c r="W65" s="148" t="s">
        <v>1514</v>
      </c>
      <c r="X65" s="147" t="s">
        <v>551</v>
      </c>
      <c r="Y65" s="147" t="s">
        <v>551</v>
      </c>
      <c r="Z65" s="147" t="s">
        <v>1510</v>
      </c>
      <c r="AA65" s="147" t="s">
        <v>1547</v>
      </c>
      <c r="AB65" s="147" t="s">
        <v>11</v>
      </c>
      <c r="AC65" s="147" t="s">
        <v>1589</v>
      </c>
      <c r="AD65" s="147" t="s">
        <v>1513</v>
      </c>
      <c r="AE65" s="147">
        <v>0.0</v>
      </c>
      <c r="AF65" s="147" t="s">
        <v>1516</v>
      </c>
    </row>
    <row r="66">
      <c r="A66" s="156">
        <v>471.0</v>
      </c>
      <c r="B66" s="259" t="s">
        <v>91</v>
      </c>
      <c r="C66" s="152" t="s">
        <v>326</v>
      </c>
      <c r="D66" s="158" t="s">
        <v>28</v>
      </c>
      <c r="E66" s="260">
        <v>4963.0</v>
      </c>
      <c r="F66" s="261">
        <v>0.0</v>
      </c>
      <c r="G66" s="261">
        <v>0.0</v>
      </c>
      <c r="H66" s="261">
        <v>352.0</v>
      </c>
      <c r="I66" s="261">
        <v>267.0</v>
      </c>
      <c r="J66" s="261">
        <v>182.0</v>
      </c>
      <c r="K66" s="261">
        <v>74.0</v>
      </c>
      <c r="L66" s="261" t="s">
        <v>71</v>
      </c>
      <c r="M66" s="261">
        <v>29.0</v>
      </c>
      <c r="N66" s="154">
        <v>83.0</v>
      </c>
      <c r="O66" s="176">
        <v>57.0</v>
      </c>
      <c r="P66" s="261">
        <v>92.0</v>
      </c>
      <c r="Q66" s="261">
        <v>11.0</v>
      </c>
      <c r="R66" s="261">
        <v>0.0</v>
      </c>
      <c r="S66" s="261">
        <v>0.0</v>
      </c>
      <c r="T66" s="147" t="s">
        <v>143</v>
      </c>
      <c r="U66" s="323">
        <f>IFERROR(__xludf.DUMMYFUNCTION("((H66+200+REGEXMATCH(Z66,""ers"")*45+REGEXMATCH(AA66,""ers"")*45+REGEXMATCH(AB66,""ers"")*45)/100)*2* (if(ISERROR(value(left(Z66))), 0, REGEXMATCH(Z66,""Fighters"")*value(left(Z66))*10+REGEXMATCH(Z66,""Divebombers"")*value(left(Z66))*6+REGEXMATCH(Z66,""To"&amp;"rpbombers"")*value(left(Z66))*5+REGEXMATCH(Z66,""Seaplanes"")*value(left(Z66))*4)+ if(ISERROR(value(left(AA66))), 0, REGEXMATCH(AA66,""Fighters"")*value(left(AA66))*10+REGEXMATCH(AA66,""Divebombers"")*value(left(AA66))*6+REGEXMATCH(AA66,""Torpbombers"")*v"&amp;"alue(left(AA66))*5+REGEXMATCH(AA66,""Seaplanes"")*value(left(AA66))*4)+ if(ISERROR(value(left(AB66))), 0, REGEXMATCH(AB66,""Fighters"")*value(left(AB66))*10+REGEXMATCH(AB66,""Divebombers"")*value(left(AB66))*6+REGEXMATCH(AB66,""Torpbombers"")*value(left(A"&amp;"B66))*5+REGEXMATCH(AB66,""Seaplanes"")*value(left(AB66))*4))"),577.8)</f>
        <v>577.8</v>
      </c>
      <c r="V66" s="179" t="s">
        <v>1669</v>
      </c>
      <c r="W66" s="164" t="s">
        <v>1538</v>
      </c>
      <c r="X66" s="147" t="s">
        <v>551</v>
      </c>
      <c r="Y66" s="147" t="s">
        <v>551</v>
      </c>
      <c r="Z66" s="147" t="s">
        <v>1510</v>
      </c>
      <c r="AA66" s="147" t="s">
        <v>1547</v>
      </c>
      <c r="AB66" s="147" t="s">
        <v>11</v>
      </c>
      <c r="AC66" s="147" t="s">
        <v>1589</v>
      </c>
      <c r="AD66" s="147" t="s">
        <v>1513</v>
      </c>
      <c r="AE66" s="147">
        <v>0.0</v>
      </c>
      <c r="AF66" s="147" t="s">
        <v>1516</v>
      </c>
    </row>
    <row r="67">
      <c r="A67" s="156">
        <v>473.0</v>
      </c>
      <c r="B67" s="259" t="s">
        <v>91</v>
      </c>
      <c r="C67" s="152" t="s">
        <v>329</v>
      </c>
      <c r="D67" s="158" t="s">
        <v>28</v>
      </c>
      <c r="E67" s="261">
        <v>4904.0</v>
      </c>
      <c r="F67" s="261">
        <v>0.0</v>
      </c>
      <c r="G67" s="261">
        <v>0.0</v>
      </c>
      <c r="H67" s="261">
        <v>344.0</v>
      </c>
      <c r="I67" s="261">
        <v>261.0</v>
      </c>
      <c r="J67" s="261">
        <v>183.0</v>
      </c>
      <c r="K67" s="267">
        <v>88.0</v>
      </c>
      <c r="L67" s="261" t="s">
        <v>71</v>
      </c>
      <c r="M67" s="261">
        <v>31.0</v>
      </c>
      <c r="N67" s="154">
        <v>91.0</v>
      </c>
      <c r="O67" s="175">
        <v>49.0</v>
      </c>
      <c r="P67" s="261">
        <v>100.0</v>
      </c>
      <c r="Q67" s="261">
        <v>11.0</v>
      </c>
      <c r="R67" s="261">
        <v>0.0</v>
      </c>
      <c r="S67" s="261">
        <v>0.0</v>
      </c>
      <c r="T67" s="147" t="s">
        <v>37</v>
      </c>
      <c r="U67" s="323">
        <f>IFERROR(__xludf.DUMMYFUNCTION("((H67+200+REGEXMATCH(Z67,""ers"")*45+REGEXMATCH(AA67,""ers"")*45+REGEXMATCH(AB67,""ers"")*45)/100)*2* (if(ISERROR(value(left(Z67))), 0, REGEXMATCH(Z67,""Fighters"")*value(left(Z67))*10+REGEXMATCH(Z67,""Divebombers"")*value(left(Z67))*6+REGEXMATCH(Z67,""To"&amp;"rpbombers"")*value(left(Z67))*5+REGEXMATCH(Z67,""Seaplanes"")*value(left(Z67))*4)+ if(ISERROR(value(left(AA67))), 0, REGEXMATCH(AA67,""Fighters"")*value(left(AA67))*10+REGEXMATCH(AA67,""Divebombers"")*value(left(AA67))*6+REGEXMATCH(AA67,""Torpbombers"")*v"&amp;"alue(left(AA67))*5+REGEXMATCH(AA67,""Seaplanes"")*value(left(AA67))*4)+ if(ISERROR(value(left(AB67))), 0, REGEXMATCH(AB67,""Fighters"")*value(left(AB67))*10+REGEXMATCH(AB67,""Divebombers"")*value(left(AB67))*6+REGEXMATCH(AB67,""Torpbombers"")*value(left(A"&amp;"B67))*5+REGEXMATCH(AB67,""Seaplanes"")*value(left(AB67))*4))"),570.6)</f>
        <v>570.6</v>
      </c>
      <c r="V67" s="345" t="s">
        <v>1670</v>
      </c>
      <c r="W67" s="325" t="s">
        <v>1671</v>
      </c>
      <c r="X67" s="147" t="s">
        <v>551</v>
      </c>
      <c r="Y67" s="147" t="s">
        <v>551</v>
      </c>
      <c r="Z67" s="147" t="s">
        <v>1510</v>
      </c>
      <c r="AA67" s="147" t="s">
        <v>1547</v>
      </c>
      <c r="AB67" s="147" t="s">
        <v>11</v>
      </c>
      <c r="AC67" s="147" t="s">
        <v>1649</v>
      </c>
      <c r="AD67" s="147" t="s">
        <v>1543</v>
      </c>
      <c r="AE67" s="147">
        <v>0.0</v>
      </c>
      <c r="AF67" s="147" t="s">
        <v>1650</v>
      </c>
    </row>
    <row r="68" ht="15.75" customHeight="1">
      <c r="A68" s="156">
        <v>474.0</v>
      </c>
      <c r="B68" s="259" t="s">
        <v>95</v>
      </c>
      <c r="C68" s="152" t="s">
        <v>331</v>
      </c>
      <c r="D68" s="158" t="s">
        <v>32</v>
      </c>
      <c r="E68" s="260">
        <v>7361.0</v>
      </c>
      <c r="F68" s="261">
        <v>0.0</v>
      </c>
      <c r="G68" s="261">
        <v>0.0</v>
      </c>
      <c r="H68" s="261">
        <v>405.0</v>
      </c>
      <c r="I68" s="261">
        <v>316.0</v>
      </c>
      <c r="J68" s="261">
        <v>121.0</v>
      </c>
      <c r="K68" s="261">
        <v>56.0</v>
      </c>
      <c r="L68" s="261" t="s">
        <v>83</v>
      </c>
      <c r="M68" s="261">
        <v>33.0</v>
      </c>
      <c r="N68" s="154">
        <v>78.0</v>
      </c>
      <c r="O68" s="176">
        <v>36.0</v>
      </c>
      <c r="P68" s="261">
        <v>0.0</v>
      </c>
      <c r="Q68" s="261">
        <v>13.0</v>
      </c>
      <c r="R68" s="261">
        <v>0.0</v>
      </c>
      <c r="S68" s="261">
        <v>0.0</v>
      </c>
      <c r="T68" s="147" t="s">
        <v>143</v>
      </c>
      <c r="U68" s="323">
        <f>IFERROR(__xludf.DUMMYFUNCTION("((H68+200+REGEXMATCH(Z68,""ers"")*45+REGEXMATCH(AA68,""ers"")*45+REGEXMATCH(AB68,""ers"")*45)/100)*2* (if(ISERROR(value(left(Z68))), 0, REGEXMATCH(Z68,""Fighters"")*value(left(Z68))*10+REGEXMATCH(Z68,""Divebombers"")*value(left(Z68))*6+REGEXMATCH(Z68,""To"&amp;"rpbombers"")*value(left(Z68))*5+REGEXMATCH(Z68,""Seaplanes"")*value(left(Z68))*4)+ if(ISERROR(value(left(AA68))), 0, REGEXMATCH(AA68,""Fighters"")*value(left(AA68))*10+REGEXMATCH(AA68,""Divebombers"")*value(left(AA68))*6+REGEXMATCH(AA68,""Torpbombers"")*v"&amp;"alue(left(AA68))*5+REGEXMATCH(AA68,""Seaplanes"")*value(left(AA68))*4)+ if(ISERROR(value(left(AB68))), 0, REGEXMATCH(AB68,""Fighters"")*value(left(AB68))*10+REGEXMATCH(AB68,""Divebombers"")*value(left(AB68))*6+REGEXMATCH(AB68,""Torpbombers"")*value(left(A"&amp;"B68))*5+REGEXMATCH(AB68,""Seaplanes"")*value(left(AB68))*4))"),784.4000000000001)</f>
        <v>784.4</v>
      </c>
      <c r="V68" s="179" t="s">
        <v>1672</v>
      </c>
      <c r="W68" s="179" t="s">
        <v>1673</v>
      </c>
      <c r="X68" s="147" t="s">
        <v>551</v>
      </c>
      <c r="Y68" s="147" t="s">
        <v>551</v>
      </c>
      <c r="Z68" s="147" t="s">
        <v>1529</v>
      </c>
      <c r="AA68" s="147" t="s">
        <v>1511</v>
      </c>
      <c r="AB68" s="147" t="s">
        <v>1547</v>
      </c>
      <c r="AC68" s="147" t="s">
        <v>1610</v>
      </c>
      <c r="AD68" s="147" t="s">
        <v>1530</v>
      </c>
      <c r="AE68" s="147" t="s">
        <v>1513</v>
      </c>
      <c r="AF68" s="147" t="s">
        <v>1559</v>
      </c>
    </row>
    <row r="69">
      <c r="A69" s="156">
        <v>480.0</v>
      </c>
      <c r="B69" s="259" t="s">
        <v>95</v>
      </c>
      <c r="C69" s="152" t="s">
        <v>339</v>
      </c>
      <c r="D69" s="158" t="s">
        <v>32</v>
      </c>
      <c r="E69" s="261">
        <v>6664.0</v>
      </c>
      <c r="F69" s="261">
        <v>0.0</v>
      </c>
      <c r="G69" s="261">
        <v>0.0</v>
      </c>
      <c r="H69" s="261">
        <v>412.0</v>
      </c>
      <c r="I69" s="261">
        <v>300.0</v>
      </c>
      <c r="J69" s="261">
        <v>119.0</v>
      </c>
      <c r="K69" s="261">
        <v>55.0</v>
      </c>
      <c r="L69" s="261" t="s">
        <v>83</v>
      </c>
      <c r="M69" s="261">
        <v>30.0</v>
      </c>
      <c r="N69" s="154">
        <v>93.0</v>
      </c>
      <c r="O69" s="175">
        <v>44.0</v>
      </c>
      <c r="P69" s="261">
        <v>0.0</v>
      </c>
      <c r="Q69" s="261">
        <v>13.0</v>
      </c>
      <c r="R69" s="261">
        <v>0.0</v>
      </c>
      <c r="S69" s="261">
        <v>0.0</v>
      </c>
      <c r="T69" s="147" t="s">
        <v>104</v>
      </c>
      <c r="U69" s="357">
        <f>IFERROR(__xludf.DUMMYFUNCTION("((H69+200+REGEXMATCH(Z69,""ers"")*45+REGEXMATCH(AA69,""ers"")*45+REGEXMATCH(AB69,""ers"")*45)/100)*2* (if(ISERROR(value(left(Z69))), 0, REGEXMATCH(Z69,""Fighters"")*value(left(Z69))*10+REGEXMATCH(Z69,""Divebombers"")*value(left(Z69))*6+REGEXMATCH(Z69,""To"&amp;"rpbombers"")*value(left(Z69))*5+REGEXMATCH(Z69,""Seaplanes"")*value(left(Z69))*4)+ if(ISERROR(value(left(AA69))), 0, REGEXMATCH(AA69,""Fighters"")*value(left(AA69))*10+REGEXMATCH(AA69,""Divebombers"")*value(left(AA69))*6+REGEXMATCH(AA69,""Torpbombers"")*v"&amp;"alue(left(AA69))*5+REGEXMATCH(AA69,""Seaplanes"")*value(left(AA69))*4)+ if(ISERROR(value(left(AB69))), 0, REGEXMATCH(AB69,""Fighters"")*value(left(AB69))*10+REGEXMATCH(AB69,""Divebombers"")*value(left(AB69))*6+REGEXMATCH(AB69,""Torpbombers"")*value(left(A"&amp;"B69))*5+REGEXMATCH(AB69,""Seaplanes"")*value(left(AB69))*4))"),1045.8)</f>
        <v>1045.8</v>
      </c>
      <c r="V69" s="325" t="s">
        <v>1674</v>
      </c>
      <c r="W69" s="179" t="s">
        <v>1675</v>
      </c>
      <c r="X69" s="147" t="s">
        <v>551</v>
      </c>
      <c r="Y69" s="147" t="s">
        <v>551</v>
      </c>
      <c r="Z69" s="147" t="s">
        <v>1510</v>
      </c>
      <c r="AA69" s="147" t="s">
        <v>1510</v>
      </c>
      <c r="AB69" s="147" t="s">
        <v>1535</v>
      </c>
      <c r="AC69" s="147" t="s">
        <v>1676</v>
      </c>
      <c r="AD69" s="147" t="s">
        <v>1663</v>
      </c>
      <c r="AE69" s="147">
        <v>0.0</v>
      </c>
      <c r="AF69" s="147" t="s">
        <v>1677</v>
      </c>
    </row>
    <row r="70" ht="15.75" customHeight="1">
      <c r="A70" s="156">
        <v>482.0</v>
      </c>
      <c r="B70" s="259" t="s">
        <v>95</v>
      </c>
      <c r="C70" s="152" t="s">
        <v>342</v>
      </c>
      <c r="D70" s="158" t="s">
        <v>32</v>
      </c>
      <c r="E70" s="261">
        <v>7659.0</v>
      </c>
      <c r="F70" s="261">
        <v>0.0</v>
      </c>
      <c r="G70" s="261">
        <v>0.0</v>
      </c>
      <c r="H70" s="261">
        <v>428.0</v>
      </c>
      <c r="I70" s="261">
        <v>316.0</v>
      </c>
      <c r="J70" s="261">
        <v>141.0</v>
      </c>
      <c r="K70" s="261">
        <v>52.0</v>
      </c>
      <c r="L70" s="261" t="s">
        <v>71</v>
      </c>
      <c r="M70" s="261">
        <v>33.0</v>
      </c>
      <c r="N70" s="154">
        <v>104.0</v>
      </c>
      <c r="O70" s="154">
        <v>45.0</v>
      </c>
      <c r="P70" s="261">
        <v>0.0</v>
      </c>
      <c r="Q70" s="261">
        <v>13.0</v>
      </c>
      <c r="R70" s="261">
        <v>0.0</v>
      </c>
      <c r="S70" s="261">
        <v>0.0</v>
      </c>
      <c r="T70" s="147" t="s">
        <v>193</v>
      </c>
      <c r="U70" s="323">
        <f>IFERROR(__xludf.DUMMYFUNCTION("((H70+200+REGEXMATCH(Z70,""ers"")*45+REGEXMATCH(AA70,""ers"")*45+REGEXMATCH(AB70,""ers"")*45)/100)*2* (if(ISERROR(value(left(Z70))), 0, REGEXMATCH(Z70,""Fighters"")*value(left(Z70))*10+REGEXMATCH(Z70,""Divebombers"")*value(left(Z70))*6+REGEXMATCH(Z70,""To"&amp;"rpbombers"")*value(left(Z70))*5+REGEXMATCH(Z70,""Seaplanes"")*value(left(Z70))*4)+ if(ISERROR(value(left(AA70))), 0, REGEXMATCH(AA70,""Fighters"")*value(left(AA70))*10+REGEXMATCH(AA70,""Divebombers"")*value(left(AA70))*6+REGEXMATCH(AA70,""Torpbombers"")*v"&amp;"alue(left(AA70))*5+REGEXMATCH(AA70,""Seaplanes"")*value(left(AA70))*4)+ if(ISERROR(value(left(AB70))), 0, REGEXMATCH(AB70,""Fighters"")*value(left(AB70))*10+REGEXMATCH(AB70,""Divebombers"")*value(left(AB70))*6+REGEXMATCH(AB70,""Torpbombers"")*value(left(A"&amp;"B70))*5+REGEXMATCH(AB70,""Seaplanes"")*value(left(AB70))*4))"),808.78)</f>
        <v>808.78</v>
      </c>
      <c r="V70" s="179" t="s">
        <v>1678</v>
      </c>
      <c r="W70" s="179" t="s">
        <v>1679</v>
      </c>
      <c r="X70" s="325" t="s">
        <v>1680</v>
      </c>
      <c r="Y70" s="147" t="s">
        <v>551</v>
      </c>
      <c r="Z70" s="147" t="s">
        <v>1529</v>
      </c>
      <c r="AA70" s="147" t="s">
        <v>1511</v>
      </c>
      <c r="AB70" s="147" t="s">
        <v>1547</v>
      </c>
      <c r="AC70" s="147" t="s">
        <v>1610</v>
      </c>
      <c r="AD70" s="147" t="s">
        <v>1530</v>
      </c>
      <c r="AE70" s="147" t="s">
        <v>1513</v>
      </c>
      <c r="AF70" s="147" t="s">
        <v>1559</v>
      </c>
    </row>
    <row r="71">
      <c r="A71" s="156">
        <v>485.0</v>
      </c>
      <c r="B71" s="259" t="s">
        <v>91</v>
      </c>
      <c r="C71" s="152" t="s">
        <v>347</v>
      </c>
      <c r="D71" s="158" t="s">
        <v>28</v>
      </c>
      <c r="E71" s="261">
        <v>4873.0</v>
      </c>
      <c r="F71" s="261">
        <v>0.0</v>
      </c>
      <c r="G71" s="261">
        <v>0.0</v>
      </c>
      <c r="H71" s="261">
        <v>327.0</v>
      </c>
      <c r="I71" s="261">
        <v>270.0</v>
      </c>
      <c r="J71" s="261">
        <v>182.0</v>
      </c>
      <c r="K71" s="261">
        <v>77.0</v>
      </c>
      <c r="L71" s="261" t="s">
        <v>71</v>
      </c>
      <c r="M71" s="261">
        <v>32.0</v>
      </c>
      <c r="N71" s="154">
        <v>90.0</v>
      </c>
      <c r="O71" s="175">
        <v>30.0</v>
      </c>
      <c r="P71" s="261">
        <v>73.0</v>
      </c>
      <c r="Q71" s="261">
        <v>11.0</v>
      </c>
      <c r="R71" s="261">
        <v>0.0</v>
      </c>
      <c r="S71" s="261">
        <v>0.0</v>
      </c>
      <c r="T71" s="147" t="s">
        <v>193</v>
      </c>
      <c r="U71" s="323">
        <f>IFERROR(__xludf.DUMMYFUNCTION("((H71+200+REGEXMATCH(Z71,""ers"")*45+REGEXMATCH(AA71,""ers"")*45+REGEXMATCH(AB71,""ers"")*45)/100)*2* (if(ISERROR(value(left(Z71))), 0, REGEXMATCH(Z71,""Fighters"")*value(left(Z71))*10+REGEXMATCH(Z71,""Divebombers"")*value(left(Z71))*6+REGEXMATCH(Z71,""To"&amp;"rpbombers"")*value(left(Z71))*5+REGEXMATCH(Z71,""Seaplanes"")*value(left(Z71))*4)+ if(ISERROR(value(left(AA71))), 0, REGEXMATCH(AA71,""Fighters"")*value(left(AA71))*10+REGEXMATCH(AA71,""Divebombers"")*value(left(AA71))*6+REGEXMATCH(AA71,""Torpbombers"")*v"&amp;"alue(left(AA71))*5+REGEXMATCH(AA71,""Seaplanes"")*value(left(AA71))*4)+ if(ISERROR(value(left(AB71))), 0, REGEXMATCH(AB71,""Fighters"")*value(left(AB71))*10+REGEXMATCH(AB71,""Divebombers"")*value(left(AB71))*6+REGEXMATCH(AB71,""Torpbombers"")*value(left(A"&amp;"B71))*5+REGEXMATCH(AB71,""Seaplanes"")*value(left(AB71))*4))"),592.3199999999999)</f>
        <v>592.32</v>
      </c>
      <c r="V71" s="179" t="s">
        <v>1681</v>
      </c>
      <c r="W71" s="345" t="s">
        <v>1682</v>
      </c>
      <c r="X71" s="147" t="s">
        <v>551</v>
      </c>
      <c r="Y71" s="147" t="s">
        <v>551</v>
      </c>
      <c r="Z71" s="147" t="s">
        <v>1510</v>
      </c>
      <c r="AA71" s="147" t="s">
        <v>1511</v>
      </c>
      <c r="AB71" s="147" t="s">
        <v>11</v>
      </c>
      <c r="AC71" s="147" t="s">
        <v>1589</v>
      </c>
      <c r="AD71" s="147" t="s">
        <v>1513</v>
      </c>
      <c r="AE71" s="147" t="s">
        <v>1516</v>
      </c>
      <c r="AF71" s="147">
        <v>0.0</v>
      </c>
    </row>
    <row r="72">
      <c r="A72" s="156">
        <v>502.0</v>
      </c>
      <c r="B72" s="259" t="s">
        <v>95</v>
      </c>
      <c r="C72" s="171" t="s">
        <v>371</v>
      </c>
      <c r="D72" s="158" t="s">
        <v>32</v>
      </c>
      <c r="E72" s="261">
        <v>6358.0</v>
      </c>
      <c r="F72" s="261">
        <v>0.0</v>
      </c>
      <c r="G72" s="261">
        <v>0.0</v>
      </c>
      <c r="H72" s="261">
        <v>403.0</v>
      </c>
      <c r="I72" s="261">
        <v>371.0</v>
      </c>
      <c r="J72" s="261">
        <v>129.0</v>
      </c>
      <c r="K72" s="261">
        <v>46.0</v>
      </c>
      <c r="L72" s="261" t="s">
        <v>71</v>
      </c>
      <c r="M72" s="261">
        <v>30.0</v>
      </c>
      <c r="N72" s="154">
        <v>104.0</v>
      </c>
      <c r="O72" s="175">
        <v>40.0</v>
      </c>
      <c r="P72" s="261">
        <v>0.0</v>
      </c>
      <c r="Q72" s="261">
        <v>13.0</v>
      </c>
      <c r="R72" s="261">
        <v>0.0</v>
      </c>
      <c r="S72" s="261">
        <v>0.0</v>
      </c>
      <c r="T72" s="147" t="s">
        <v>269</v>
      </c>
      <c r="U72" s="323">
        <f>IFERROR(__xludf.DUMMYFUNCTION("((H72+200+REGEXMATCH(Z72,""ers"")*45+REGEXMATCH(AA72,""ers"")*45+REGEXMATCH(AB72,""ers"")*45)/100)*2* (if(ISERROR(value(left(Z72))), 0, REGEXMATCH(Z72,""Fighters"")*value(left(Z72))*10+REGEXMATCH(Z72,""Divebombers"")*value(left(Z72))*6+REGEXMATCH(Z72,""To"&amp;"rpbombers"")*value(left(Z72))*5+REGEXMATCH(Z72,""Seaplanes"")*value(left(Z72))*4)+ if(ISERROR(value(left(AA72))), 0, REGEXMATCH(AA72,""Fighters"")*value(left(AA72))*10+REGEXMATCH(AA72,""Divebombers"")*value(left(AA72))*6+REGEXMATCH(AA72,""Torpbombers"")*v"&amp;"alue(left(AA72))*5+REGEXMATCH(AA72,""Seaplanes"")*value(left(AA72))*4)+ if(ISERROR(value(left(AB72))), 0, REGEXMATCH(AB72,""Fighters"")*value(left(AB72))*10+REGEXMATCH(AB72,""Divebombers"")*value(left(AB72))*6+REGEXMATCH(AB72,""Torpbombers"")*value(left(A"&amp;"B72))*5+REGEXMATCH(AB72,""Seaplanes"")*value(left(AB72))*4))"),885.6)</f>
        <v>885.6</v>
      </c>
      <c r="V72" s="179" t="s">
        <v>1683</v>
      </c>
      <c r="W72" s="325" t="s">
        <v>1684</v>
      </c>
      <c r="X72" s="345" t="s">
        <v>1685</v>
      </c>
      <c r="Y72" s="147" t="s">
        <v>551</v>
      </c>
      <c r="Z72" s="147" t="s">
        <v>1529</v>
      </c>
      <c r="AA72" s="147" t="s">
        <v>1529</v>
      </c>
      <c r="AB72" s="147" t="s">
        <v>1603</v>
      </c>
      <c r="AC72" s="147" t="s">
        <v>1686</v>
      </c>
      <c r="AD72" s="147" t="s">
        <v>1687</v>
      </c>
      <c r="AE72" s="147" t="s">
        <v>1688</v>
      </c>
      <c r="AF72" s="147" t="s">
        <v>1689</v>
      </c>
    </row>
    <row r="73">
      <c r="A73" s="156">
        <v>511.0</v>
      </c>
      <c r="B73" s="259" t="s">
        <v>95</v>
      </c>
      <c r="C73" s="171" t="s">
        <v>383</v>
      </c>
      <c r="D73" s="158" t="s">
        <v>32</v>
      </c>
      <c r="E73" s="261">
        <v>6779.0</v>
      </c>
      <c r="F73" s="261">
        <v>0.0</v>
      </c>
      <c r="G73" s="261">
        <v>0.0</v>
      </c>
      <c r="H73" s="261">
        <v>438.0</v>
      </c>
      <c r="I73" s="261">
        <v>338.0</v>
      </c>
      <c r="J73" s="261">
        <v>132.0</v>
      </c>
      <c r="K73" s="261">
        <v>56.0</v>
      </c>
      <c r="L73" s="261" t="s">
        <v>71</v>
      </c>
      <c r="M73" s="261">
        <v>33.0</v>
      </c>
      <c r="N73" s="154">
        <v>90.0</v>
      </c>
      <c r="O73" s="175">
        <v>72.0</v>
      </c>
      <c r="P73" s="261">
        <v>0.0</v>
      </c>
      <c r="Q73" s="261">
        <v>13.0</v>
      </c>
      <c r="R73" s="261">
        <v>0.0</v>
      </c>
      <c r="S73" s="261">
        <v>0.0</v>
      </c>
      <c r="T73" s="147" t="s">
        <v>37</v>
      </c>
      <c r="U73" s="323">
        <f>IFERROR(__xludf.DUMMYFUNCTION("((H73+200+REGEXMATCH(Z73,""ers"")*45+REGEXMATCH(AA73,""ers"")*45+REGEXMATCH(AB73,""ers"")*45)/100)*2* (if(ISERROR(value(left(Z73))), 0, REGEXMATCH(Z73,""Fighters"")*value(left(Z73))*10+REGEXMATCH(Z73,""Divebombers"")*value(left(Z73))*6+REGEXMATCH(Z73,""To"&amp;"rpbombers"")*value(left(Z73))*5+REGEXMATCH(Z73,""Seaplanes"")*value(left(Z73))*4)+ if(ISERROR(value(left(AA73))), 0, REGEXMATCH(AA73,""Fighters"")*value(left(AA73))*10+REGEXMATCH(AA73,""Divebombers"")*value(left(AA73))*6+REGEXMATCH(AA73,""Torpbombers"")*v"&amp;"alue(left(AA73))*5+REGEXMATCH(AA73,""Seaplanes"")*value(left(AA73))*4)+ if(ISERROR(value(left(AB73))), 0, REGEXMATCH(AB73,""Fighters"")*value(left(AB73))*10+REGEXMATCH(AB73,""Divebombers"")*value(left(AB73))*6+REGEXMATCH(AB73,""Torpbombers"")*value(left(A"&amp;"B73))*5+REGEXMATCH(AB73,""Seaplanes"")*value(left(AB73))*4))"),896.6800000000001)</f>
        <v>896.68</v>
      </c>
      <c r="V73" s="179" t="s">
        <v>1690</v>
      </c>
      <c r="W73" s="345" t="s">
        <v>1691</v>
      </c>
      <c r="X73" s="325" t="s">
        <v>1692</v>
      </c>
      <c r="Y73" s="147" t="s">
        <v>551</v>
      </c>
      <c r="Z73" s="147" t="s">
        <v>1510</v>
      </c>
      <c r="AA73" s="147" t="s">
        <v>1511</v>
      </c>
      <c r="AB73" s="147" t="s">
        <v>1535</v>
      </c>
      <c r="AC73" s="147" t="s">
        <v>1626</v>
      </c>
      <c r="AD73" s="147" t="s">
        <v>1559</v>
      </c>
      <c r="AE73" s="147" t="s">
        <v>1513</v>
      </c>
      <c r="AF73" s="147" t="s">
        <v>1530</v>
      </c>
    </row>
    <row r="74">
      <c r="A74" s="156">
        <v>516.0</v>
      </c>
      <c r="B74" s="259" t="s">
        <v>95</v>
      </c>
      <c r="C74" s="171" t="s">
        <v>388</v>
      </c>
      <c r="D74" s="158" t="s">
        <v>28</v>
      </c>
      <c r="E74" s="261">
        <v>6037.0</v>
      </c>
      <c r="F74" s="261">
        <v>0.0</v>
      </c>
      <c r="G74" s="261">
        <v>0.0</v>
      </c>
      <c r="H74" s="261">
        <v>410.0</v>
      </c>
      <c r="I74" s="261">
        <v>305.0</v>
      </c>
      <c r="J74" s="261">
        <v>118.0</v>
      </c>
      <c r="K74" s="261">
        <v>56.0</v>
      </c>
      <c r="L74" s="261" t="s">
        <v>71</v>
      </c>
      <c r="M74" s="261">
        <v>32.0</v>
      </c>
      <c r="N74" s="154">
        <v>97.0</v>
      </c>
      <c r="O74" s="175">
        <v>93.0</v>
      </c>
      <c r="P74" s="261">
        <v>0.0</v>
      </c>
      <c r="Q74" s="261">
        <v>12.0</v>
      </c>
      <c r="R74" s="261">
        <v>0.0</v>
      </c>
      <c r="S74" s="261">
        <v>0.0</v>
      </c>
      <c r="T74" s="147" t="s">
        <v>37</v>
      </c>
      <c r="U74" s="323">
        <f>IFERROR(__xludf.DUMMYFUNCTION("((H74+200+REGEXMATCH(Z74,""ers"")*45+REGEXMATCH(AA74,""ers"")*45+REGEXMATCH(AB74,""ers"")*45)/100)*2* (if(ISERROR(value(left(Z74))), 0, REGEXMATCH(Z74,""Fighters"")*value(left(Z74))*10+REGEXMATCH(Z74,""Divebombers"")*value(left(Z74))*6+REGEXMATCH(Z74,""To"&amp;"rpbombers"")*value(left(Z74))*5+REGEXMATCH(Z74,""Seaplanes"")*value(left(Z74))*4)+ if(ISERROR(value(left(AA74))), 0, REGEXMATCH(AA74,""Fighters"")*value(left(AA74))*10+REGEXMATCH(AA74,""Divebombers"")*value(left(AA74))*6+REGEXMATCH(AA74,""Torpbombers"")*v"&amp;"alue(left(AA74))*5+REGEXMATCH(AA74,""Seaplanes"")*value(left(AA74))*4)+ if(ISERROR(value(left(AB74))), 0, REGEXMATCH(AB74,""Fighters"")*value(left(AB74))*10+REGEXMATCH(AB74,""Divebombers"")*value(left(AB74))*6+REGEXMATCH(AB74,""Torpbombers"")*value(left(A"&amp;"B74))*5+REGEXMATCH(AB74,""Seaplanes"")*value(left(AB74))*4))"),864.2)</f>
        <v>864.2</v>
      </c>
      <c r="V74" s="179" t="s">
        <v>1693</v>
      </c>
      <c r="W74" s="147" t="s">
        <v>551</v>
      </c>
      <c r="X74" s="147" t="s">
        <v>551</v>
      </c>
      <c r="Y74" s="147" t="s">
        <v>551</v>
      </c>
      <c r="Z74" s="147" t="s">
        <v>1510</v>
      </c>
      <c r="AA74" s="147" t="s">
        <v>1511</v>
      </c>
      <c r="AB74" s="147" t="s">
        <v>1535</v>
      </c>
      <c r="AC74" s="147" t="s">
        <v>1542</v>
      </c>
      <c r="AD74" s="147" t="s">
        <v>1543</v>
      </c>
      <c r="AE74" s="147" t="s">
        <v>1694</v>
      </c>
      <c r="AF74" s="147" t="s">
        <v>1533</v>
      </c>
    </row>
    <row r="75">
      <c r="A75" s="156">
        <v>520.0</v>
      </c>
      <c r="B75" s="259" t="s">
        <v>95</v>
      </c>
      <c r="C75" s="171" t="s">
        <v>394</v>
      </c>
      <c r="D75" s="158" t="s">
        <v>32</v>
      </c>
      <c r="E75" s="261">
        <v>6223.0</v>
      </c>
      <c r="F75" s="261">
        <v>0.0</v>
      </c>
      <c r="G75" s="261">
        <v>0.0</v>
      </c>
      <c r="H75" s="261">
        <v>424.0</v>
      </c>
      <c r="I75" s="261">
        <v>316.0</v>
      </c>
      <c r="J75" s="261">
        <v>121.0</v>
      </c>
      <c r="K75" s="261">
        <v>56.0</v>
      </c>
      <c r="L75" s="261" t="s">
        <v>71</v>
      </c>
      <c r="M75" s="261">
        <v>32.0</v>
      </c>
      <c r="N75" s="154">
        <v>96.0</v>
      </c>
      <c r="O75" s="175">
        <v>75.0</v>
      </c>
      <c r="P75" s="261">
        <v>0.0</v>
      </c>
      <c r="Q75" s="261">
        <v>13.0</v>
      </c>
      <c r="R75" s="261">
        <v>0.0</v>
      </c>
      <c r="S75" s="261">
        <v>0.0</v>
      </c>
      <c r="T75" s="147" t="s">
        <v>143</v>
      </c>
      <c r="U75" s="323">
        <f>IFERROR(__xludf.DUMMYFUNCTION("((H75+200+REGEXMATCH(Z75,""ers"")*45+REGEXMATCH(AA75,""ers"")*45+REGEXMATCH(AB75,""ers"")*45)/100)*2* (if(ISERROR(value(left(Z75))), 0, REGEXMATCH(Z75,""Fighters"")*value(left(Z75))*10+REGEXMATCH(Z75,""Divebombers"")*value(left(Z75))*6+REGEXMATCH(Z75,""To"&amp;"rpbombers"")*value(left(Z75))*5+REGEXMATCH(Z75,""Seaplanes"")*value(left(Z75))*4)+ if(ISERROR(value(left(AA75))), 0, REGEXMATCH(AA75,""Fighters"")*value(left(AA75))*10+REGEXMATCH(AA75,""Divebombers"")*value(left(AA75))*6+REGEXMATCH(AA75,""Torpbombers"")*v"&amp;"alue(left(AA75))*5+REGEXMATCH(AA75,""Seaplanes"")*value(left(AA75))*4)+ if(ISERROR(value(left(AB75))), 0, REGEXMATCH(AB75,""Fighters"")*value(left(AB75))*10+REGEXMATCH(AB75,""Divebombers"")*value(left(AB75))*6+REGEXMATCH(AB75,""Torpbombers"")*value(left(A"&amp;"B75))*5+REGEXMATCH(AB75,""Seaplanes"")*value(left(AB75))*4))"),865.26)</f>
        <v>865.26</v>
      </c>
      <c r="V75" s="179" t="s">
        <v>1695</v>
      </c>
      <c r="W75" s="345" t="s">
        <v>1696</v>
      </c>
      <c r="X75" s="147" t="s">
        <v>551</v>
      </c>
      <c r="Y75" s="147" t="s">
        <v>551</v>
      </c>
      <c r="Z75" s="147" t="s">
        <v>1510</v>
      </c>
      <c r="AA75" s="147" t="s">
        <v>1520</v>
      </c>
      <c r="AB75" s="147" t="s">
        <v>1547</v>
      </c>
      <c r="AC75" s="147" t="s">
        <v>1697</v>
      </c>
      <c r="AD75" s="147" t="s">
        <v>1543</v>
      </c>
      <c r="AE75" s="147" t="s">
        <v>1598</v>
      </c>
      <c r="AF75" s="147" t="s">
        <v>1557</v>
      </c>
    </row>
    <row r="76">
      <c r="A76" s="156" t="s">
        <v>395</v>
      </c>
      <c r="B76" s="259" t="s">
        <v>95</v>
      </c>
      <c r="C76" s="152" t="s">
        <v>396</v>
      </c>
      <c r="D76" s="158" t="s">
        <v>32</v>
      </c>
      <c r="E76" s="261">
        <v>5794.0</v>
      </c>
      <c r="F76" s="261">
        <v>0.0</v>
      </c>
      <c r="G76" s="261">
        <v>0.0</v>
      </c>
      <c r="H76" s="261">
        <v>429.0</v>
      </c>
      <c r="I76" s="261">
        <v>316.0</v>
      </c>
      <c r="J76" s="261">
        <v>140.0</v>
      </c>
      <c r="K76" s="261">
        <v>60.0</v>
      </c>
      <c r="L76" s="261" t="s">
        <v>71</v>
      </c>
      <c r="M76" s="261">
        <v>34.0</v>
      </c>
      <c r="N76" s="154">
        <v>91.0</v>
      </c>
      <c r="O76" s="175">
        <v>36.0</v>
      </c>
      <c r="P76" s="261">
        <v>0.0</v>
      </c>
      <c r="Q76" s="261">
        <v>14.0</v>
      </c>
      <c r="R76" s="261">
        <v>0.0</v>
      </c>
      <c r="S76" s="261">
        <v>0.0</v>
      </c>
      <c r="T76" s="170" t="s">
        <v>397</v>
      </c>
      <c r="U76" s="323">
        <f>IFERROR(__xludf.DUMMYFUNCTION("((H76+200+REGEXMATCH(Z76,""ers"")*45+REGEXMATCH(AA76,""ers"")*45+REGEXMATCH(AB76,""ers"")*45)/100)*2* (if(ISERROR(value(left(Z76))), 0, REGEXMATCH(Z76,""Fighters"")*value(left(Z76))*10+REGEXMATCH(Z76,""Divebombers"")*value(left(Z76))*6+REGEXMATCH(Z76,""To"&amp;"rpbombers"")*value(left(Z76))*5+REGEXMATCH(Z76,""Seaplanes"")*value(left(Z76))*4)+ if(ISERROR(value(left(AA76))), 0, REGEXMATCH(AA76,""Fighters"")*value(left(AA76))*10+REGEXMATCH(AA76,""Divebombers"")*value(left(AA76))*6+REGEXMATCH(AA76,""Torpbombers"")*v"&amp;"alue(left(AA76))*5+REGEXMATCH(AA76,""Seaplanes"")*value(left(AA76))*4)+ if(ISERROR(value(left(AB76))), 0, REGEXMATCH(AB76,""Fighters"")*value(left(AB76))*10+REGEXMATCH(AB76,""Divebombers"")*value(left(AB76))*6+REGEXMATCH(AB76,""Torpbombers"")*value(left(A"&amp;"B76))*5+REGEXMATCH(AB76,""Seaplanes"")*value(left(AB76))*4))"),870.9599999999999)</f>
        <v>870.96</v>
      </c>
      <c r="V76" s="179" t="s">
        <v>1698</v>
      </c>
      <c r="W76" s="345" t="s">
        <v>1699</v>
      </c>
      <c r="X76" s="325" t="s">
        <v>1700</v>
      </c>
      <c r="Y76" s="325" t="s">
        <v>1701</v>
      </c>
      <c r="Z76" s="147" t="s">
        <v>1510</v>
      </c>
      <c r="AA76" s="147" t="s">
        <v>1520</v>
      </c>
      <c r="AB76" s="147" t="s">
        <v>1547</v>
      </c>
      <c r="AC76" s="147" t="s">
        <v>1592</v>
      </c>
      <c r="AD76" s="147" t="s">
        <v>1584</v>
      </c>
      <c r="AE76" s="147" t="s">
        <v>1569</v>
      </c>
      <c r="AF76" s="147" t="s">
        <v>1593</v>
      </c>
    </row>
    <row r="77">
      <c r="A77" s="156" t="s">
        <v>399</v>
      </c>
      <c r="B77" s="259" t="s">
        <v>95</v>
      </c>
      <c r="C77" s="171" t="s">
        <v>400</v>
      </c>
      <c r="D77" s="158" t="s">
        <v>32</v>
      </c>
      <c r="E77" s="261">
        <v>6459.0</v>
      </c>
      <c r="F77" s="261">
        <v>0.0</v>
      </c>
      <c r="G77" s="261">
        <v>0.0</v>
      </c>
      <c r="H77" s="261">
        <v>425.0</v>
      </c>
      <c r="I77" s="261">
        <v>325.0</v>
      </c>
      <c r="J77" s="261">
        <v>116.0</v>
      </c>
      <c r="K77" s="261">
        <v>53.0</v>
      </c>
      <c r="L77" s="261" t="s">
        <v>71</v>
      </c>
      <c r="M77" s="261">
        <v>31.0</v>
      </c>
      <c r="N77" s="154">
        <v>105.0</v>
      </c>
      <c r="O77" s="175">
        <v>87.0</v>
      </c>
      <c r="P77" s="261">
        <v>0.0</v>
      </c>
      <c r="Q77" s="261">
        <v>14.0</v>
      </c>
      <c r="R77" s="261">
        <v>0.0</v>
      </c>
      <c r="S77" s="261">
        <v>0.0</v>
      </c>
      <c r="T77" s="147" t="s">
        <v>397</v>
      </c>
      <c r="U77" s="323">
        <f>IFERROR(__xludf.DUMMYFUNCTION("((H77+200+REGEXMATCH(Z77,""ers"")*45+REGEXMATCH(AA77,""ers"")*45+REGEXMATCH(AB77,""ers"")*45)/100)*2* (if(ISERROR(value(left(Z77))), 0, REGEXMATCH(Z77,""Fighters"")*value(left(Z77))*10+REGEXMATCH(Z77,""Divebombers"")*value(left(Z77))*6+REGEXMATCH(Z77,""To"&amp;"rpbombers"")*value(left(Z77))*5+REGEXMATCH(Z77,""Seaplanes"")*value(left(Z77))*4)+ if(ISERROR(value(left(AA77))), 0, REGEXMATCH(AA77,""Fighters"")*value(left(AA77))*10+REGEXMATCH(AA77,""Divebombers"")*value(left(AA77))*6+REGEXMATCH(AA77,""Torpbombers"")*v"&amp;"alue(left(AA77))*5+REGEXMATCH(AA77,""Seaplanes"")*value(left(AA77))*4)+ if(ISERROR(value(left(AB77))), 0, REGEXMATCH(AB77,""Fighters"")*value(left(AB77))*10+REGEXMATCH(AB77,""Divebombers"")*value(left(AB77))*6+REGEXMATCH(AB77,""Torpbombers"")*value(left(A"&amp;"B77))*5+REGEXMATCH(AB77,""Seaplanes"")*value(left(AB77))*4))"),638.4)</f>
        <v>638.4</v>
      </c>
      <c r="V77" s="179" t="s">
        <v>1702</v>
      </c>
      <c r="W77" s="179" t="s">
        <v>1703</v>
      </c>
      <c r="X77" s="325" t="s">
        <v>1704</v>
      </c>
      <c r="Y77" s="325" t="s">
        <v>1705</v>
      </c>
      <c r="Z77" s="147" t="s">
        <v>1547</v>
      </c>
      <c r="AA77" s="147" t="s">
        <v>1547</v>
      </c>
      <c r="AB77" s="147" t="s">
        <v>1520</v>
      </c>
      <c r="AC77" s="147" t="s">
        <v>1706</v>
      </c>
      <c r="AD77" s="147">
        <v>0.0</v>
      </c>
      <c r="AE77" s="147" t="s">
        <v>1522</v>
      </c>
      <c r="AF77" s="147" t="s">
        <v>1707</v>
      </c>
    </row>
    <row r="78">
      <c r="A78" s="156" t="s">
        <v>403</v>
      </c>
      <c r="B78" s="259" t="s">
        <v>95</v>
      </c>
      <c r="C78" s="171" t="s">
        <v>404</v>
      </c>
      <c r="D78" s="158" t="s">
        <v>32</v>
      </c>
      <c r="E78" s="261">
        <v>5362.0</v>
      </c>
      <c r="F78" s="261">
        <v>0.0</v>
      </c>
      <c r="G78" s="261">
        <v>0.0</v>
      </c>
      <c r="H78" s="261">
        <v>425.0</v>
      </c>
      <c r="I78" s="261">
        <v>313.0</v>
      </c>
      <c r="J78" s="261">
        <v>136.0</v>
      </c>
      <c r="K78" s="261">
        <v>50.0</v>
      </c>
      <c r="L78" s="261" t="s">
        <v>71</v>
      </c>
      <c r="M78" s="261">
        <v>34.0</v>
      </c>
      <c r="N78" s="154">
        <v>104.0</v>
      </c>
      <c r="O78" s="175">
        <v>36.0</v>
      </c>
      <c r="P78" s="261">
        <v>0.0</v>
      </c>
      <c r="Q78" s="261">
        <v>14.0</v>
      </c>
      <c r="R78" s="261">
        <v>0.0</v>
      </c>
      <c r="S78" s="261">
        <v>0.0</v>
      </c>
      <c r="T78" s="147" t="s">
        <v>397</v>
      </c>
      <c r="U78" s="323">
        <f>IFERROR(__xludf.DUMMYFUNCTION("((H78+200+REGEXMATCH(Z78,""ers"")*45+REGEXMATCH(AA78,""ers"")*45+REGEXMATCH(AB78,""ers"")*45)/100)*2* (if(ISERROR(value(left(Z78))), 0, REGEXMATCH(Z78,""Fighters"")*value(left(Z78))*10+REGEXMATCH(Z78,""Divebombers"")*value(left(Z78))*6+REGEXMATCH(Z78,""To"&amp;"rpbombers"")*value(left(Z78))*5+REGEXMATCH(Z78,""Seaplanes"")*value(left(Z78))*4)+ if(ISERROR(value(left(AA78))), 0, REGEXMATCH(AA78,""Fighters"")*value(left(AA78))*10+REGEXMATCH(AA78,""Divebombers"")*value(left(AA78))*6+REGEXMATCH(AA78,""Torpbombers"")*v"&amp;"alue(left(AA78))*5+REGEXMATCH(AA78,""Seaplanes"")*value(left(AA78))*4)+ if(ISERROR(value(left(AB78))), 0, REGEXMATCH(AB78,""Fighters"")*value(left(AB78))*10+REGEXMATCH(AB78,""Divebombers"")*value(left(AB78))*6+REGEXMATCH(AB78,""Torpbombers"")*value(left(A"&amp;"B78))*5+REGEXMATCH(AB78,""Seaplanes"")*value(left(AB78))*4))"),957.5999999999999)</f>
        <v>957.6</v>
      </c>
      <c r="V78" s="179" t="s">
        <v>1708</v>
      </c>
      <c r="W78" s="179" t="s">
        <v>1709</v>
      </c>
      <c r="X78" s="325" t="s">
        <v>1710</v>
      </c>
      <c r="Y78" s="325" t="s">
        <v>1711</v>
      </c>
      <c r="Z78" s="147" t="s">
        <v>1510</v>
      </c>
      <c r="AA78" s="147" t="s">
        <v>1511</v>
      </c>
      <c r="AB78" s="147" t="s">
        <v>1547</v>
      </c>
      <c r="AC78" s="147" t="s">
        <v>1712</v>
      </c>
      <c r="AD78" s="147" t="s">
        <v>1584</v>
      </c>
      <c r="AE78" s="147" t="s">
        <v>1593</v>
      </c>
      <c r="AF78" s="147" t="s">
        <v>1530</v>
      </c>
    </row>
    <row r="79">
      <c r="A79" s="156" t="s">
        <v>414</v>
      </c>
      <c r="B79" s="149" t="s">
        <v>95</v>
      </c>
      <c r="C79" s="157" t="str">
        <f>HYPERLINK("https://azurlane.koumakan.jp/Vert","Vert")</f>
        <v>Vert</v>
      </c>
      <c r="D79" s="142" t="s">
        <v>28</v>
      </c>
      <c r="E79" s="158">
        <v>5652.0</v>
      </c>
      <c r="F79" s="158">
        <v>0.0</v>
      </c>
      <c r="G79" s="158">
        <v>0.0</v>
      </c>
      <c r="H79" s="158">
        <v>382.0</v>
      </c>
      <c r="I79" s="158">
        <v>294.0</v>
      </c>
      <c r="J79" s="158">
        <v>112.0</v>
      </c>
      <c r="K79" s="158">
        <v>49.0</v>
      </c>
      <c r="L79" s="158" t="s">
        <v>71</v>
      </c>
      <c r="M79" s="158">
        <v>28.0</v>
      </c>
      <c r="N79" s="145">
        <v>91.0</v>
      </c>
      <c r="O79" s="165">
        <v>93.0</v>
      </c>
      <c r="P79" s="158">
        <v>0.0</v>
      </c>
      <c r="Q79" s="158">
        <v>12.0</v>
      </c>
      <c r="R79" s="158">
        <v>0.0</v>
      </c>
      <c r="S79" s="158">
        <v>0.0</v>
      </c>
      <c r="T79" s="147" t="s">
        <v>409</v>
      </c>
      <c r="U79" s="358">
        <f>IFERROR(__xludf.DUMMYFUNCTION("((H79+200+REGEXMATCH(Z79,""ers"")*45+REGEXMATCH(AA79,""ers"")*45+REGEXMATCH(AB79,""ers"")*45)/100)*2* (if(ISERROR(value(left(Z79))), 0, REGEXMATCH(Z79,""Fighters"")*value(left(Z79))*10+REGEXMATCH(Z79,""Divebombers"")*value(left(Z79))*6+REGEXMATCH(Z79,""To"&amp;"rpbombers"")*value(left(Z79))*5+REGEXMATCH(Z79,""Seaplanes"")*value(left(Z79))*4)+ if(ISERROR(value(left(AA79))), 0, REGEXMATCH(AA79,""Fighters"")*value(left(AA79))*10+REGEXMATCH(AA79,""Divebombers"")*value(left(AA79))*6+REGEXMATCH(AA79,""Torpbombers"")*v"&amp;"alue(left(AA79))*5+REGEXMATCH(AA79,""Seaplanes"")*value(left(AA79))*4)+ if(ISERROR(value(left(AB79))), 0, REGEXMATCH(AB79,""Fighters"")*value(left(AB79))*10+REGEXMATCH(AB79,""Divebombers"")*value(left(AB79))*6+REGEXMATCH(AB79,""Torpbombers"")*value(left(A"&amp;"B79))*5+REGEXMATCH(AB79,""Seaplanes"")*value(left(AB79))*4))"),774.36)</f>
        <v>774.36</v>
      </c>
      <c r="V79" s="161" t="s">
        <v>1713</v>
      </c>
      <c r="W79" s="149" t="s">
        <v>551</v>
      </c>
      <c r="X79" s="149" t="s">
        <v>551</v>
      </c>
      <c r="Y79" s="149" t="s">
        <v>551</v>
      </c>
      <c r="Z79" s="147" t="s">
        <v>1510</v>
      </c>
      <c r="AA79" s="147" t="s">
        <v>1520</v>
      </c>
      <c r="AB79" s="147" t="s">
        <v>1520</v>
      </c>
      <c r="AC79" s="147" t="s">
        <v>1714</v>
      </c>
      <c r="AD79" s="147" t="s">
        <v>1715</v>
      </c>
      <c r="AE79" s="147" t="s">
        <v>1716</v>
      </c>
      <c r="AF79" s="147">
        <v>0.0</v>
      </c>
    </row>
    <row r="80">
      <c r="A80" s="156" t="s">
        <v>419</v>
      </c>
      <c r="B80" s="149" t="s">
        <v>95</v>
      </c>
      <c r="C80" s="157" t="str">
        <f>HYPERLINK("https://azurlane.koumakan.jp/Green_Heart","Green Heart")</f>
        <v>Green Heart</v>
      </c>
      <c r="D80" s="142" t="s">
        <v>32</v>
      </c>
      <c r="E80" s="158">
        <v>5917.0</v>
      </c>
      <c r="F80" s="158">
        <v>0.0</v>
      </c>
      <c r="G80" s="158">
        <v>0.0</v>
      </c>
      <c r="H80" s="158">
        <v>400.0</v>
      </c>
      <c r="I80" s="158">
        <v>305.0</v>
      </c>
      <c r="J80" s="158">
        <v>116.0</v>
      </c>
      <c r="K80" s="158">
        <v>56.0</v>
      </c>
      <c r="L80" s="158" t="s">
        <v>71</v>
      </c>
      <c r="M80" s="158">
        <v>28.0</v>
      </c>
      <c r="N80" s="145">
        <v>91.0</v>
      </c>
      <c r="O80" s="266">
        <v>95.0</v>
      </c>
      <c r="P80" s="158">
        <v>0.0</v>
      </c>
      <c r="Q80" s="158">
        <v>13.0</v>
      </c>
      <c r="R80" s="158">
        <v>0.0</v>
      </c>
      <c r="S80" s="158">
        <v>0.0</v>
      </c>
      <c r="T80" s="147" t="s">
        <v>409</v>
      </c>
      <c r="U80" s="359">
        <f>IFERROR(__xludf.DUMMYFUNCTION("((H80+200+REGEXMATCH(Z80,""ers"")*45+REGEXMATCH(AA80,""ers"")*45+REGEXMATCH(AB80,""ers"")*45)/100)*2* (if(ISERROR(value(left(Z80))), 0, REGEXMATCH(Z80,""Fighters"")*value(left(Z80))*10+REGEXMATCH(Z80,""Divebombers"")*value(left(Z80))*6+REGEXMATCH(Z80,""To"&amp;"rpbombers"")*value(left(Z80))*5+REGEXMATCH(Z80,""Seaplanes"")*value(left(Z80))*4)+ if(ISERROR(value(left(AA80))), 0, REGEXMATCH(AA80,""Fighters"")*value(left(AA80))*10+REGEXMATCH(AA80,""Divebombers"")*value(left(AA80))*6+REGEXMATCH(AA80,""Torpbombers"")*v"&amp;"alue(left(AA80))*5+REGEXMATCH(AA80,""Seaplanes"")*value(left(AA80))*4)+ if(ISERROR(value(left(AB80))), 0, REGEXMATCH(AB80,""Fighters"")*value(left(AB80))*10+REGEXMATCH(AB80,""Divebombers"")*value(left(AB80))*6+REGEXMATCH(AB80,""Torpbombers"")*value(left(A"&amp;"B80))*5+REGEXMATCH(AB80,""Seaplanes"")*value(left(AB80))*4))"),823.1999999999999)</f>
        <v>823.2</v>
      </c>
      <c r="V80" s="148" t="s">
        <v>1717</v>
      </c>
      <c r="W80" s="164" t="s">
        <v>1718</v>
      </c>
      <c r="X80" s="149" t="s">
        <v>551</v>
      </c>
      <c r="Y80" s="149" t="s">
        <v>551</v>
      </c>
      <c r="Z80" s="147" t="s">
        <v>1529</v>
      </c>
      <c r="AA80" s="147" t="s">
        <v>1511</v>
      </c>
      <c r="AB80" s="147" t="s">
        <v>1511</v>
      </c>
      <c r="AC80" s="147" t="s">
        <v>1714</v>
      </c>
      <c r="AD80" s="147" t="s">
        <v>1530</v>
      </c>
      <c r="AE80" s="147" t="s">
        <v>1663</v>
      </c>
      <c r="AF80" s="147">
        <v>0.0</v>
      </c>
    </row>
    <row r="81">
      <c r="A81" s="156" t="s">
        <v>425</v>
      </c>
      <c r="B81" s="149" t="s">
        <v>95</v>
      </c>
      <c r="C81" s="157" t="str">
        <f>HYPERLINK("https://azurlane.koumakan.jp/Anniversary_Kizuna_AI","Anniversary Kizuna Ai")</f>
        <v>Anniversary Kizuna Ai</v>
      </c>
      <c r="D81" s="142" t="s">
        <v>32</v>
      </c>
      <c r="E81" s="158">
        <v>6787.0</v>
      </c>
      <c r="F81" s="158">
        <v>0.0</v>
      </c>
      <c r="G81" s="158">
        <v>0.0</v>
      </c>
      <c r="H81" s="158">
        <v>414.0</v>
      </c>
      <c r="I81" s="158">
        <v>330.0</v>
      </c>
      <c r="J81" s="158">
        <v>121.0</v>
      </c>
      <c r="K81" s="158">
        <v>40.0</v>
      </c>
      <c r="L81" s="158" t="s">
        <v>71</v>
      </c>
      <c r="M81" s="158">
        <v>32.0</v>
      </c>
      <c r="N81" s="158">
        <v>90.0</v>
      </c>
      <c r="O81" s="144">
        <v>66.0</v>
      </c>
      <c r="P81" s="158">
        <v>0.0</v>
      </c>
      <c r="Q81" s="158">
        <v>13.0</v>
      </c>
      <c r="R81" s="158">
        <v>0.0</v>
      </c>
      <c r="S81" s="158">
        <v>0.0</v>
      </c>
      <c r="T81" s="147" t="s">
        <v>421</v>
      </c>
      <c r="U81" s="327">
        <f>IFERROR(__xludf.DUMMYFUNCTION("((H81+200+REGEXMATCH(Z81,""ers"")*45+REGEXMATCH(AA81,""ers"")*45+REGEXMATCH(AB81,""ers"")*45)/100)*2* (if(ISERROR(value(left(Z81))), 0, REGEXMATCH(Z81,""Fighters"")*value(left(Z81))*10+REGEXMATCH(Z81,""Divebombers"")*value(left(Z81))*6+REGEXMATCH(Z81,""To"&amp;"rpbombers"")*value(left(Z81))*5+REGEXMATCH(Z81,""Seaplanes"")*value(left(Z81))*4)+ if(ISERROR(value(left(AA81))), 0, REGEXMATCH(AA81,""Fighters"")*value(left(AA81))*10+REGEXMATCH(AA81,""Divebombers"")*value(left(AA81))*6+REGEXMATCH(AA81,""Torpbombers"")*v"&amp;"alue(left(AA81))*5+REGEXMATCH(AA81,""Seaplanes"")*value(left(AA81))*4)+ if(ISERROR(value(left(AB81))), 0, REGEXMATCH(AB81,""Fighters"")*value(left(AB81))*10+REGEXMATCH(AB81,""Divebombers"")*value(left(AB81))*6+REGEXMATCH(AB81,""Torpbombers"")*value(left(A"&amp;"B81))*5+REGEXMATCH(AB81,""Seaplanes"")*value(left(AB81))*4))"),793.94)</f>
        <v>793.94</v>
      </c>
      <c r="V81" s="164" t="s">
        <v>1719</v>
      </c>
      <c r="W81" s="164" t="s">
        <v>1720</v>
      </c>
      <c r="X81" s="149" t="s">
        <v>551</v>
      </c>
      <c r="Y81" s="149" t="s">
        <v>551</v>
      </c>
      <c r="Z81" s="147" t="s">
        <v>1529</v>
      </c>
      <c r="AA81" s="147" t="s">
        <v>1511</v>
      </c>
      <c r="AB81" s="147" t="s">
        <v>1547</v>
      </c>
      <c r="AC81" s="147" t="s">
        <v>1721</v>
      </c>
      <c r="AD81" s="147" t="s">
        <v>1569</v>
      </c>
      <c r="AE81" s="147" t="s">
        <v>1557</v>
      </c>
      <c r="AF81" s="147" t="s">
        <v>1557</v>
      </c>
    </row>
    <row r="82" ht="15.75" customHeight="1">
      <c r="A82" s="182" t="s">
        <v>431</v>
      </c>
      <c r="B82" s="183" t="s">
        <v>95</v>
      </c>
      <c r="C82" s="152" t="str">
        <f>HYPERLINK("https://azurlane.koumakan.jp/Tokino_Sora","Tokino Sora")</f>
        <v>Tokino Sora</v>
      </c>
      <c r="D82" s="170" t="s">
        <v>32</v>
      </c>
      <c r="E82" s="191">
        <v>6775.0</v>
      </c>
      <c r="F82" s="170">
        <v>0.0</v>
      </c>
      <c r="G82" s="170">
        <v>0.0</v>
      </c>
      <c r="H82" s="170">
        <v>424.0</v>
      </c>
      <c r="I82" s="170">
        <v>344.0</v>
      </c>
      <c r="J82" s="170">
        <v>124.0</v>
      </c>
      <c r="K82" s="170">
        <v>50.0</v>
      </c>
      <c r="L82" s="170" t="s">
        <v>71</v>
      </c>
      <c r="M82" s="170">
        <v>28.0</v>
      </c>
      <c r="N82" s="170">
        <v>105.0</v>
      </c>
      <c r="O82" s="192">
        <v>46.0</v>
      </c>
      <c r="P82" s="170">
        <v>0.0</v>
      </c>
      <c r="Q82" s="170">
        <v>13.0</v>
      </c>
      <c r="R82" s="170">
        <v>0.0</v>
      </c>
      <c r="S82" s="170">
        <v>0.0</v>
      </c>
      <c r="T82" s="170" t="s">
        <v>429</v>
      </c>
      <c r="U82" s="360">
        <f>IFERROR(__xludf.DUMMYFUNCTION("((H82+200+REGEXMATCH(Z82,""ers"")*45+REGEXMATCH(AA82,""ers"")*45+REGEXMATCH(AB82,""ers"")*45)/100)*2* (if(ISERROR(value(left(Z82))), 0, REGEXMATCH(Z82,""Fighters"")*value(left(Z82))*10+REGEXMATCH(Z82,""Divebombers"")*value(left(Z82))*6+REGEXMATCH(Z82,""To"&amp;"rpbombers"")*value(left(Z82))*5+REGEXMATCH(Z82,""Seaplanes"")*value(left(Z82))*4)+ if(ISERROR(value(left(AA82))), 0, REGEXMATCH(AA82,""Fighters"")*value(left(AA82))*10+REGEXMATCH(AA82,""Divebombers"")*value(left(AA82))*6+REGEXMATCH(AA82,""Torpbombers"")*v"&amp;"alue(left(AA82))*5+REGEXMATCH(AA82,""Seaplanes"")*value(left(AA82))*4)+ if(ISERROR(value(left(AB82))), 0, REGEXMATCH(AB82,""Fighters"")*value(left(AB82))*10+REGEXMATCH(AB82,""Divebombers"")*value(left(AB82))*6+REGEXMATCH(AB82,""Torpbombers"")*value(left(A"&amp;"B82))*5+REGEXMATCH(AB82,""Seaplanes"")*value(left(AB82))*4))"),819.72)</f>
        <v>819.72</v>
      </c>
      <c r="V82" s="179" t="s">
        <v>1722</v>
      </c>
      <c r="W82" s="345" t="s">
        <v>1723</v>
      </c>
      <c r="X82" s="149" t="s">
        <v>551</v>
      </c>
      <c r="Y82" s="149" t="s">
        <v>551</v>
      </c>
      <c r="Z82" s="147" t="s">
        <v>1529</v>
      </c>
      <c r="AA82" s="147" t="s">
        <v>1724</v>
      </c>
      <c r="AB82" s="147" t="s">
        <v>1535</v>
      </c>
      <c r="AC82" s="147" t="s">
        <v>1606</v>
      </c>
      <c r="AD82" s="147" t="s">
        <v>1607</v>
      </c>
      <c r="AE82" s="147" t="s">
        <v>1716</v>
      </c>
      <c r="AF82" s="147" t="s">
        <v>1533</v>
      </c>
    </row>
    <row r="83">
      <c r="A83" s="182" t="s">
        <v>436</v>
      </c>
      <c r="B83" s="183" t="s">
        <v>91</v>
      </c>
      <c r="C83" s="152" t="str">
        <f>HYPERLINK("https://azurlane.koumakan.jp/Murasaki_Shion","Murasaki Shion")</f>
        <v>Murasaki Shion</v>
      </c>
      <c r="D83" s="170" t="s">
        <v>28</v>
      </c>
      <c r="E83" s="170">
        <v>5304.0</v>
      </c>
      <c r="F83" s="170">
        <v>0.0</v>
      </c>
      <c r="G83" s="170">
        <v>0.0</v>
      </c>
      <c r="H83" s="170">
        <v>315.0</v>
      </c>
      <c r="I83" s="170">
        <v>260.0</v>
      </c>
      <c r="J83" s="170">
        <v>176.0</v>
      </c>
      <c r="K83" s="170">
        <v>69.0</v>
      </c>
      <c r="L83" s="170" t="s">
        <v>71</v>
      </c>
      <c r="M83" s="170">
        <v>26.0</v>
      </c>
      <c r="N83" s="170">
        <v>85.0</v>
      </c>
      <c r="O83" s="191">
        <v>85.0</v>
      </c>
      <c r="P83" s="170">
        <v>73.0</v>
      </c>
      <c r="Q83" s="170">
        <v>11.0</v>
      </c>
      <c r="R83" s="170">
        <v>0.0</v>
      </c>
      <c r="S83" s="170">
        <v>0.0</v>
      </c>
      <c r="T83" s="170" t="s">
        <v>429</v>
      </c>
      <c r="U83" s="303">
        <f>IFERROR(__xludf.DUMMYFUNCTION("((H83+200+REGEXMATCH(Z83,""ers"")*45+REGEXMATCH(AA83,""ers"")*45+REGEXMATCH(AB83,""ers"")*45)/100)*2* (if(ISERROR(value(left(Z83))), 0, REGEXMATCH(Z83,""Fighters"")*value(left(Z83))*10+REGEXMATCH(Z83,""Divebombers"")*value(left(Z83))*6+REGEXMATCH(Z83,""To"&amp;"rpbombers"")*value(left(Z83))*5+REGEXMATCH(Z83,""Seaplanes"")*value(left(Z83))*4)+ if(ISERROR(value(left(AA83))), 0, REGEXMATCH(AA83,""Fighters"")*value(left(AA83))*10+REGEXMATCH(AA83,""Divebombers"")*value(left(AA83))*6+REGEXMATCH(AA83,""Torpbombers"")*v"&amp;"alue(left(AA83))*5+REGEXMATCH(AA83,""Seaplanes"")*value(left(AA83))*4)+ if(ISERROR(value(left(AB83))), 0, REGEXMATCH(AB83,""Fighters"")*value(left(AB83))*10+REGEXMATCH(AB83,""Divebombers"")*value(left(AB83))*6+REGEXMATCH(AB83,""Torpbombers"")*value(left(A"&amp;"B83))*5+REGEXMATCH(AB83,""Seaplanes"")*value(left(AB83))*4))"),605.0)</f>
        <v>605</v>
      </c>
      <c r="V83" s="179" t="s">
        <v>1725</v>
      </c>
      <c r="W83" s="325" t="s">
        <v>1726</v>
      </c>
      <c r="X83" s="149" t="s">
        <v>551</v>
      </c>
      <c r="Y83" s="149" t="s">
        <v>551</v>
      </c>
      <c r="Z83" s="147" t="s">
        <v>1631</v>
      </c>
      <c r="AA83" s="147" t="s">
        <v>1535</v>
      </c>
      <c r="AB83" s="147" t="s">
        <v>11</v>
      </c>
      <c r="AC83" s="147" t="s">
        <v>1727</v>
      </c>
      <c r="AD83" s="147" t="s">
        <v>1689</v>
      </c>
      <c r="AE83" s="147">
        <v>0.0</v>
      </c>
      <c r="AF83" s="147" t="s">
        <v>1533</v>
      </c>
    </row>
    <row r="84">
      <c r="A84" s="182" t="s">
        <v>438</v>
      </c>
      <c r="B84" s="183" t="s">
        <v>95</v>
      </c>
      <c r="C84" s="152" t="str">
        <f>HYPERLINK("https://azurlane.koumakan.jp/Ookami_Mio","Ookami Mio")</f>
        <v>Ookami Mio</v>
      </c>
      <c r="D84" s="170" t="s">
        <v>28</v>
      </c>
      <c r="E84" s="170">
        <v>6527.0</v>
      </c>
      <c r="F84" s="170">
        <v>0.0</v>
      </c>
      <c r="G84" s="170">
        <v>0.0</v>
      </c>
      <c r="H84" s="170">
        <v>379.0</v>
      </c>
      <c r="I84" s="170">
        <v>294.0</v>
      </c>
      <c r="J84" s="170">
        <v>118.0</v>
      </c>
      <c r="K84" s="170">
        <v>49.0</v>
      </c>
      <c r="L84" s="170" t="s">
        <v>71</v>
      </c>
      <c r="M84" s="170">
        <v>26.0</v>
      </c>
      <c r="N84" s="170">
        <v>105.0</v>
      </c>
      <c r="O84" s="191">
        <v>53.0</v>
      </c>
      <c r="P84" s="170">
        <v>0.0</v>
      </c>
      <c r="Q84" s="170">
        <v>12.0</v>
      </c>
      <c r="R84" s="170">
        <v>0.0</v>
      </c>
      <c r="S84" s="170">
        <v>0.0</v>
      </c>
      <c r="T84" s="170" t="s">
        <v>429</v>
      </c>
      <c r="U84" s="323">
        <f>IFERROR(__xludf.DUMMYFUNCTION("((H84+200+REGEXMATCH(Z84,""ers"")*45+REGEXMATCH(AA84,""ers"")*45+REGEXMATCH(AB84,""ers"")*45)/100)*2* (if(ISERROR(value(left(Z84))), 0, REGEXMATCH(Z84,""Fighters"")*value(left(Z84))*10+REGEXMATCH(Z84,""Divebombers"")*value(left(Z84))*6+REGEXMATCH(Z84,""To"&amp;"rpbombers"")*value(left(Z84))*5+REGEXMATCH(Z84,""Seaplanes"")*value(left(Z84))*4)+ if(ISERROR(value(left(AA84))), 0, REGEXMATCH(AA84,""Fighters"")*value(left(AA84))*10+REGEXMATCH(AA84,""Divebombers"")*value(left(AA84))*6+REGEXMATCH(AA84,""Torpbombers"")*v"&amp;"alue(left(AA84))*5+REGEXMATCH(AA84,""Seaplanes"")*value(left(AA84))*4)+ if(ISERROR(value(left(AB84))), 0, REGEXMATCH(AB84,""Fighters"")*value(left(AB84))*10+REGEXMATCH(AB84,""Divebombers"")*value(left(AB84))*6+REGEXMATCH(AB84,""Torpbombers"")*value(left(A"&amp;"B84))*5+REGEXMATCH(AB84,""Seaplanes"")*value(left(AB84))*4))"),885.36)</f>
        <v>885.36</v>
      </c>
      <c r="V84" s="179" t="s">
        <v>1728</v>
      </c>
      <c r="W84" s="325" t="s">
        <v>1729</v>
      </c>
      <c r="X84" s="149" t="s">
        <v>551</v>
      </c>
      <c r="Y84" s="149" t="s">
        <v>551</v>
      </c>
      <c r="Z84" s="147" t="s">
        <v>1631</v>
      </c>
      <c r="AA84" s="147" t="s">
        <v>1520</v>
      </c>
      <c r="AB84" s="147" t="s">
        <v>1535</v>
      </c>
      <c r="AC84" s="147" t="s">
        <v>1575</v>
      </c>
      <c r="AD84" s="147" t="s">
        <v>1621</v>
      </c>
      <c r="AE84" s="147" t="s">
        <v>1598</v>
      </c>
      <c r="AF84" s="147" t="s">
        <v>1598</v>
      </c>
    </row>
    <row r="85">
      <c r="A85" s="156" t="s">
        <v>452</v>
      </c>
      <c r="B85" s="259" t="s">
        <v>95</v>
      </c>
      <c r="C85" s="152" t="s">
        <v>453</v>
      </c>
      <c r="D85" s="158" t="s">
        <v>28</v>
      </c>
      <c r="E85" s="260">
        <v>6803.0</v>
      </c>
      <c r="F85" s="261">
        <v>0.0</v>
      </c>
      <c r="G85" s="261">
        <v>0.0</v>
      </c>
      <c r="H85" s="261">
        <v>379.0</v>
      </c>
      <c r="I85" s="261">
        <v>316.0</v>
      </c>
      <c r="J85" s="261">
        <v>118.0</v>
      </c>
      <c r="K85" s="261">
        <v>55.0</v>
      </c>
      <c r="L85" s="261" t="s">
        <v>71</v>
      </c>
      <c r="M85" s="261">
        <v>32.0</v>
      </c>
      <c r="N85" s="154">
        <v>89.0</v>
      </c>
      <c r="O85" s="176">
        <v>88.0</v>
      </c>
      <c r="P85" s="261">
        <v>0.0</v>
      </c>
      <c r="Q85" s="261">
        <v>12.0</v>
      </c>
      <c r="R85" s="261">
        <v>0.0</v>
      </c>
      <c r="S85" s="261">
        <v>0.0</v>
      </c>
      <c r="T85" s="170" t="s">
        <v>441</v>
      </c>
      <c r="U85" s="323">
        <f>IFERROR(__xludf.DUMMYFUNCTION("((H85+200+REGEXMATCH(Z85,""ers"")*45+REGEXMATCH(AA85,""ers"")*45+REGEXMATCH(AB85,""ers"")*45)/100)*2* (if(ISERROR(value(left(Z85))), 0, REGEXMATCH(Z85,""Fighters"")*value(left(Z85))*10+REGEXMATCH(Z85,""Divebombers"")*value(left(Z85))*6+REGEXMATCH(Z85,""To"&amp;"rpbombers"")*value(left(Z85))*5+REGEXMATCH(Z85,""Seaplanes"")*value(left(Z85))*4)+ if(ISERROR(value(left(AA85))), 0, REGEXMATCH(AA85,""Fighters"")*value(left(AA85))*10+REGEXMATCH(AA85,""Divebombers"")*value(left(AA85))*6+REGEXMATCH(AA85,""Torpbombers"")*v"&amp;"alue(left(AA85))*5+REGEXMATCH(AA85,""Seaplanes"")*value(left(AA85))*4)+ if(ISERROR(value(left(AB85))), 0, REGEXMATCH(AB85,""Fighters"")*value(left(AB85))*10+REGEXMATCH(AB85,""Divebombers"")*value(left(AB85))*6+REGEXMATCH(AB85,""Torpbombers"")*value(left(A"&amp;"B85))*5+REGEXMATCH(AB85,""Seaplanes"")*value(left(AB85))*4))"),756.8399999999999)</f>
        <v>756.84</v>
      </c>
      <c r="V85" s="179" t="s">
        <v>1730</v>
      </c>
      <c r="W85" s="325" t="s">
        <v>1731</v>
      </c>
      <c r="X85" s="147" t="s">
        <v>551</v>
      </c>
      <c r="Y85" s="147" t="s">
        <v>551</v>
      </c>
      <c r="Z85" s="147" t="s">
        <v>1529</v>
      </c>
      <c r="AA85" s="147" t="s">
        <v>1511</v>
      </c>
      <c r="AB85" s="147" t="s">
        <v>1547</v>
      </c>
      <c r="AC85" s="147" t="s">
        <v>1732</v>
      </c>
      <c r="AD85" s="147" t="s">
        <v>1530</v>
      </c>
      <c r="AE85" s="147" t="s">
        <v>1543</v>
      </c>
      <c r="AF85" s="147" t="s">
        <v>1557</v>
      </c>
    </row>
    <row r="86">
      <c r="A86" s="156" t="s">
        <v>460</v>
      </c>
      <c r="B86" s="259" t="s">
        <v>95</v>
      </c>
      <c r="C86" s="171" t="s">
        <v>461</v>
      </c>
      <c r="D86" s="158" t="s">
        <v>32</v>
      </c>
      <c r="E86" s="261">
        <v>6923.0</v>
      </c>
      <c r="F86" s="261">
        <v>0.0</v>
      </c>
      <c r="G86" s="261">
        <v>0.0</v>
      </c>
      <c r="H86" s="261">
        <v>434.0</v>
      </c>
      <c r="I86" s="261">
        <v>322.0</v>
      </c>
      <c r="J86" s="261">
        <v>146.0</v>
      </c>
      <c r="K86" s="261">
        <v>55.0</v>
      </c>
      <c r="L86" s="261" t="s">
        <v>71</v>
      </c>
      <c r="M86" s="261">
        <v>31.0</v>
      </c>
      <c r="N86" s="154">
        <v>90.0</v>
      </c>
      <c r="O86" s="175">
        <v>72.0</v>
      </c>
      <c r="P86" s="261">
        <v>0.0</v>
      </c>
      <c r="Q86" s="261">
        <v>13.0</v>
      </c>
      <c r="R86" s="261">
        <v>0.0</v>
      </c>
      <c r="S86" s="261">
        <v>0.0</v>
      </c>
      <c r="T86" s="147" t="s">
        <v>459</v>
      </c>
      <c r="U86" s="323">
        <f>IFERROR(__xludf.DUMMYFUNCTION("((H86+200+REGEXMATCH(Z86,""ers"")*45+REGEXMATCH(AA86,""ers"")*45+REGEXMATCH(AB86,""ers"")*45)/100)*2* (if(ISERROR(value(left(Z86))), 0, REGEXMATCH(Z86,""Fighters"")*value(left(Z86))*10+REGEXMATCH(Z86,""Divebombers"")*value(left(Z86))*6+REGEXMATCH(Z86,""To"&amp;"rpbombers"")*value(left(Z86))*5+REGEXMATCH(Z86,""Seaplanes"")*value(left(Z86))*4)+ if(ISERROR(value(left(AA86))), 0, REGEXMATCH(AA86,""Fighters"")*value(left(AA86))*10+REGEXMATCH(AA86,""Divebombers"")*value(left(AA86))*6+REGEXMATCH(AA86,""Torpbombers"")*v"&amp;"alue(left(AA86))*5+REGEXMATCH(AA86,""Seaplanes"")*value(left(AA86))*4)+ if(ISERROR(value(left(AB86))), 0, REGEXMATCH(AB86,""Fighters"")*value(left(AB86))*10+REGEXMATCH(AB86,""Divebombers"")*value(left(AB86))*6+REGEXMATCH(AB86,""Torpbombers"")*value(left(A"&amp;"B86))*5+REGEXMATCH(AB86,""Seaplanes"")*value(left(AB86))*4))"),815.14)</f>
        <v>815.14</v>
      </c>
      <c r="V86" s="179" t="s">
        <v>1733</v>
      </c>
      <c r="W86" s="325" t="s">
        <v>1734</v>
      </c>
      <c r="X86" s="345" t="s">
        <v>1735</v>
      </c>
      <c r="Y86" s="147" t="s">
        <v>551</v>
      </c>
      <c r="Z86" s="147" t="s">
        <v>1529</v>
      </c>
      <c r="AA86" s="147" t="s">
        <v>1511</v>
      </c>
      <c r="AB86" s="147" t="s">
        <v>1547</v>
      </c>
      <c r="AC86" s="147" t="s">
        <v>1736</v>
      </c>
      <c r="AD86" s="147" t="s">
        <v>1569</v>
      </c>
      <c r="AE86" s="147" t="s">
        <v>1715</v>
      </c>
      <c r="AF86" s="147" t="s">
        <v>1559</v>
      </c>
    </row>
    <row r="87">
      <c r="A87" s="156" t="s">
        <v>500</v>
      </c>
      <c r="B87" s="259" t="s">
        <v>95</v>
      </c>
      <c r="C87" s="171" t="s">
        <v>501</v>
      </c>
      <c r="D87" s="158" t="s">
        <v>485</v>
      </c>
      <c r="E87" s="261">
        <v>8549.0</v>
      </c>
      <c r="F87" s="261">
        <v>0.0</v>
      </c>
      <c r="G87" s="261">
        <v>0.0</v>
      </c>
      <c r="H87" s="267">
        <v>462.0</v>
      </c>
      <c r="I87" s="261">
        <v>330.0</v>
      </c>
      <c r="J87" s="261">
        <v>128.0</v>
      </c>
      <c r="K87" s="261">
        <v>59.0</v>
      </c>
      <c r="L87" s="261" t="s">
        <v>83</v>
      </c>
      <c r="M87" s="261">
        <v>34.0</v>
      </c>
      <c r="N87" s="154">
        <v>99.0</v>
      </c>
      <c r="O87" s="175">
        <v>0.0</v>
      </c>
      <c r="P87" s="261">
        <v>0.0</v>
      </c>
      <c r="Q87" s="261">
        <v>17.0</v>
      </c>
      <c r="R87" s="261">
        <v>0.0</v>
      </c>
      <c r="S87" s="261">
        <v>0.0</v>
      </c>
      <c r="T87" s="147" t="s">
        <v>143</v>
      </c>
      <c r="U87" s="323">
        <f>IFERROR(__xludf.DUMMYFUNCTION("((H87+200+REGEXMATCH(Z87,""ers"")*45+REGEXMATCH(AA87,""ers"")*45+REGEXMATCH(AB87,""ers"")*45)/100)*2* (if(ISERROR(value(left(Z87))), 0, REGEXMATCH(Z87,""Fighters"")*value(left(Z87))*10+REGEXMATCH(Z87,""Divebombers"")*value(left(Z87))*6+REGEXMATCH(Z87,""To"&amp;"rpbombers"")*value(left(Z87))*5+REGEXMATCH(Z87,""Seaplanes"")*value(left(Z87))*4)+ if(ISERROR(value(left(AA87))), 0, REGEXMATCH(AA87,""Fighters"")*value(left(AA87))*10+REGEXMATCH(AA87,""Divebombers"")*value(left(AA87))*6+REGEXMATCH(AA87,""Torpbombers"")*v"&amp;"alue(left(AA87))*5+REGEXMATCH(AA87,""Seaplanes"")*value(left(AA87))*4)+ if(ISERROR(value(left(AB87))), 0, REGEXMATCH(AB87,""Fighters"")*value(left(AB87))*10+REGEXMATCH(AB87,""Divebombers"")*value(left(AB87))*6+REGEXMATCH(AB87,""Torpbombers"")*value(left(A"&amp;"B87))*5+REGEXMATCH(AB87,""Seaplanes"")*value(left(AB87))*4))"),1020.16)</f>
        <v>1020.16</v>
      </c>
      <c r="V87" s="179" t="s">
        <v>1737</v>
      </c>
      <c r="W87" s="179" t="s">
        <v>1738</v>
      </c>
      <c r="X87" s="325" t="s">
        <v>1739</v>
      </c>
      <c r="Y87" s="179" t="s">
        <v>873</v>
      </c>
      <c r="Z87" s="147" t="s">
        <v>1510</v>
      </c>
      <c r="AA87" s="147" t="s">
        <v>1724</v>
      </c>
      <c r="AB87" s="147" t="s">
        <v>1535</v>
      </c>
      <c r="AC87" s="147" t="s">
        <v>1008</v>
      </c>
      <c r="AD87" s="147" t="s">
        <v>1740</v>
      </c>
      <c r="AE87" s="147" t="s">
        <v>1741</v>
      </c>
      <c r="AF87" s="147" t="s">
        <v>1742</v>
      </c>
    </row>
    <row r="88">
      <c r="A88" s="156" t="s">
        <v>504</v>
      </c>
      <c r="B88" s="259" t="s">
        <v>95</v>
      </c>
      <c r="C88" s="171" t="s">
        <v>505</v>
      </c>
      <c r="D88" s="158" t="s">
        <v>473</v>
      </c>
      <c r="E88" s="261">
        <v>7402.0</v>
      </c>
      <c r="F88" s="261">
        <v>0.0</v>
      </c>
      <c r="G88" s="261">
        <v>0.0</v>
      </c>
      <c r="H88" s="261">
        <v>439.0</v>
      </c>
      <c r="I88" s="261">
        <v>334.0</v>
      </c>
      <c r="J88" s="261">
        <v>121.0</v>
      </c>
      <c r="K88" s="261">
        <v>49.0</v>
      </c>
      <c r="L88" s="261" t="s">
        <v>71</v>
      </c>
      <c r="M88" s="261">
        <v>31.0</v>
      </c>
      <c r="N88" s="154">
        <v>111.0</v>
      </c>
      <c r="O88" s="175">
        <v>0.0</v>
      </c>
      <c r="P88" s="261">
        <v>0.0</v>
      </c>
      <c r="Q88" s="261">
        <v>14.0</v>
      </c>
      <c r="R88" s="261">
        <v>0.0</v>
      </c>
      <c r="S88" s="261">
        <v>0.0</v>
      </c>
      <c r="T88" s="147" t="s">
        <v>193</v>
      </c>
      <c r="U88" s="323">
        <f>IFERROR(__xludf.DUMMYFUNCTION("((H88+200+REGEXMATCH(Z88,""ers"")*45+REGEXMATCH(AA88,""ers"")*45+REGEXMATCH(AB88,""ers"")*45)/100)*2* (if(ISERROR(value(left(Z88))), 0, REGEXMATCH(Z88,""Fighters"")*value(left(Z88))*10+REGEXMATCH(Z88,""Divebombers"")*value(left(Z88))*6+REGEXMATCH(Z88,""To"&amp;"rpbombers"")*value(left(Z88))*5+REGEXMATCH(Z88,""Seaplanes"")*value(left(Z88))*4)+ if(ISERROR(value(left(AA88))), 0, REGEXMATCH(AA88,""Fighters"")*value(left(AA88))*10+REGEXMATCH(AA88,""Divebombers"")*value(left(AA88))*6+REGEXMATCH(AA88,""Torpbombers"")*v"&amp;"alue(left(AA88))*5+REGEXMATCH(AA88,""Seaplanes"")*value(left(AA88))*4)+ if(ISERROR(value(left(AB88))), 0, REGEXMATCH(AB88,""Fighters"")*value(left(AB88))*10+REGEXMATCH(AB88,""Divebombers"")*value(left(AB88))*6+REGEXMATCH(AB88,""Torpbombers"")*value(left(A"&amp;"B88))*5+REGEXMATCH(AB88,""Seaplanes"")*value(left(AB88))*4))"),820.44)</f>
        <v>820.44</v>
      </c>
      <c r="V88" s="179" t="s">
        <v>1743</v>
      </c>
      <c r="W88" s="179" t="s">
        <v>1744</v>
      </c>
      <c r="X88" s="325" t="s">
        <v>1745</v>
      </c>
      <c r="Y88" s="179" t="s">
        <v>873</v>
      </c>
      <c r="Z88" s="147" t="s">
        <v>1529</v>
      </c>
      <c r="AA88" s="147" t="s">
        <v>1511</v>
      </c>
      <c r="AB88" s="147" t="s">
        <v>1547</v>
      </c>
      <c r="AC88" s="147" t="s">
        <v>1746</v>
      </c>
      <c r="AD88" s="147" t="s">
        <v>1747</v>
      </c>
      <c r="AE88" s="147" t="s">
        <v>1584</v>
      </c>
      <c r="AF88" s="147" t="s">
        <v>1559</v>
      </c>
    </row>
    <row r="89">
      <c r="A89" s="156" t="s">
        <v>527</v>
      </c>
      <c r="B89" s="259" t="s">
        <v>95</v>
      </c>
      <c r="C89" s="171" t="s">
        <v>528</v>
      </c>
      <c r="D89" s="158" t="s">
        <v>32</v>
      </c>
      <c r="E89" s="261">
        <v>7175.0</v>
      </c>
      <c r="F89" s="261">
        <v>0.0</v>
      </c>
      <c r="G89" s="261">
        <v>0.0</v>
      </c>
      <c r="H89" s="261">
        <v>408.0</v>
      </c>
      <c r="I89" s="261">
        <v>316.0</v>
      </c>
      <c r="J89" s="261">
        <v>146.0</v>
      </c>
      <c r="K89" s="261">
        <v>50.0</v>
      </c>
      <c r="L89" s="261" t="s">
        <v>71</v>
      </c>
      <c r="M89" s="261">
        <v>28.0</v>
      </c>
      <c r="N89" s="154">
        <v>90.0</v>
      </c>
      <c r="O89" s="175">
        <v>55.0</v>
      </c>
      <c r="P89" s="261">
        <v>0.0</v>
      </c>
      <c r="Q89" s="261">
        <v>13.0</v>
      </c>
      <c r="R89" s="261">
        <v>0.0</v>
      </c>
      <c r="S89" s="261">
        <v>0.0</v>
      </c>
      <c r="T89" s="147" t="s">
        <v>512</v>
      </c>
      <c r="U89" s="323">
        <f>IFERROR(__xludf.DUMMYFUNCTION("((H89+200+REGEXMATCH(Z89,""ers"")*45+REGEXMATCH(AA89,""ers"")*45+REGEXMATCH(AB89,""ers"")*45)/100)*2* (if(ISERROR(value(left(Z89))), 0, REGEXMATCH(Z89,""Fighters"")*value(left(Z89))*10+REGEXMATCH(Z89,""Divebombers"")*value(left(Z89))*6+REGEXMATCH(Z89,""To"&amp;"rpbombers"")*value(left(Z89))*5+REGEXMATCH(Z89,""Seaplanes"")*value(left(Z89))*4)+ if(ISERROR(value(left(AA89))), 0, REGEXMATCH(AA89,""Fighters"")*value(left(AA89))*10+REGEXMATCH(AA89,""Divebombers"")*value(left(AA89))*6+REGEXMATCH(AA89,""Torpbombers"")*v"&amp;"alue(left(AA89))*5+REGEXMATCH(AA89,""Seaplanes"")*value(left(AA89))*4)+ if(ISERROR(value(left(AB89))), 0, REGEXMATCH(AB89,""Fighters"")*value(left(AB89))*10+REGEXMATCH(AB89,""Divebombers"")*value(left(AB89))*6+REGEXMATCH(AB89,""Torpbombers"")*value(left(A"&amp;"B89))*5+REGEXMATCH(AB89,""Seaplanes"")*value(left(AB89))*4))"),787.5799999999999)</f>
        <v>787.58</v>
      </c>
      <c r="V89" s="179" t="s">
        <v>1748</v>
      </c>
      <c r="W89" s="345" t="s">
        <v>1749</v>
      </c>
      <c r="X89" s="147" t="s">
        <v>551</v>
      </c>
      <c r="Y89" s="147" t="s">
        <v>551</v>
      </c>
      <c r="Z89" s="147" t="s">
        <v>1529</v>
      </c>
      <c r="AA89" s="147" t="s">
        <v>1511</v>
      </c>
      <c r="AB89" s="147" t="s">
        <v>1547</v>
      </c>
      <c r="AC89" s="147" t="s">
        <v>1750</v>
      </c>
      <c r="AD89" s="147" t="s">
        <v>1530</v>
      </c>
      <c r="AE89" s="147" t="s">
        <v>1543</v>
      </c>
      <c r="AF89" s="147" t="s">
        <v>1513</v>
      </c>
    </row>
    <row r="90">
      <c r="A90" s="156" t="s">
        <v>536</v>
      </c>
      <c r="B90" s="259" t="s">
        <v>91</v>
      </c>
      <c r="C90" s="171" t="s">
        <v>537</v>
      </c>
      <c r="D90" s="158" t="s">
        <v>28</v>
      </c>
      <c r="E90" s="261">
        <v>6665.0</v>
      </c>
      <c r="F90" s="261">
        <v>0.0</v>
      </c>
      <c r="G90" s="261">
        <v>0.0</v>
      </c>
      <c r="H90" s="261">
        <v>330.0</v>
      </c>
      <c r="I90" s="261">
        <v>294.0</v>
      </c>
      <c r="J90" s="261">
        <v>195.0</v>
      </c>
      <c r="K90" s="261">
        <v>81.0</v>
      </c>
      <c r="L90" s="261" t="s">
        <v>71</v>
      </c>
      <c r="M90" s="261">
        <v>26.0</v>
      </c>
      <c r="N90" s="154">
        <v>115.0</v>
      </c>
      <c r="O90" s="175">
        <v>43.0</v>
      </c>
      <c r="P90" s="261">
        <v>78.0</v>
      </c>
      <c r="Q90" s="261">
        <v>13.0</v>
      </c>
      <c r="R90" s="261">
        <v>0.0</v>
      </c>
      <c r="S90" s="261">
        <v>0.0</v>
      </c>
      <c r="T90" s="147" t="s">
        <v>397</v>
      </c>
      <c r="U90" s="323">
        <f>IFERROR(__xludf.DUMMYFUNCTION("((H90+200+REGEXMATCH(Z90,""ers"")*45+REGEXMATCH(AA90,""ers"")*45+REGEXMATCH(AB90,""ers"")*45)/100)*2* (if(ISERROR(value(left(Z90))), 0, REGEXMATCH(Z90,""Fighters"")*value(left(Z90))*10+REGEXMATCH(Z90,""Divebombers"")*value(left(Z90))*6+REGEXMATCH(Z90,""To"&amp;"rpbombers"")*value(left(Z90))*5+REGEXMATCH(Z90,""Seaplanes"")*value(left(Z90))*4)+ if(ISERROR(value(left(AA90))), 0, REGEXMATCH(AA90,""Fighters"")*value(left(AA90))*10+REGEXMATCH(AA90,""Divebombers"")*value(left(AA90))*6+REGEXMATCH(AA90,""Torpbombers"")*v"&amp;"alue(left(AA90))*5+REGEXMATCH(AA90,""Seaplanes"")*value(left(AA90))*4)+ if(ISERROR(value(left(AB90))), 0, REGEXMATCH(AB90,""Fighters"")*value(left(AB90))*10+REGEXMATCH(AB90,""Divebombers"")*value(left(AB90))*6+REGEXMATCH(AB90,""Torpbombers"")*value(left(A"&amp;"B90))*5+REGEXMATCH(AB90,""Seaplanes"")*value(left(AB90))*4))"),638.4000000000001)</f>
        <v>638.4</v>
      </c>
      <c r="V90" s="179" t="s">
        <v>1751</v>
      </c>
      <c r="W90" s="325" t="s">
        <v>1752</v>
      </c>
      <c r="X90" s="345" t="s">
        <v>1753</v>
      </c>
      <c r="Y90" s="179" t="s">
        <v>1754</v>
      </c>
      <c r="Z90" s="147" t="s">
        <v>1529</v>
      </c>
      <c r="AA90" s="147" t="s">
        <v>1511</v>
      </c>
      <c r="AB90" s="147" t="s">
        <v>1535</v>
      </c>
      <c r="AC90" s="147" t="s">
        <v>1755</v>
      </c>
      <c r="AD90" s="147" t="s">
        <v>1537</v>
      </c>
      <c r="AE90" s="147" t="s">
        <v>1715</v>
      </c>
      <c r="AF90" s="147" t="s">
        <v>1569</v>
      </c>
    </row>
    <row r="91">
      <c r="A91" s="156">
        <v>526.0</v>
      </c>
      <c r="B91" s="259" t="s">
        <v>91</v>
      </c>
      <c r="C91" s="171" t="s">
        <v>538</v>
      </c>
      <c r="D91" s="158" t="s">
        <v>28</v>
      </c>
      <c r="E91" s="261">
        <v>5076.0</v>
      </c>
      <c r="F91" s="261">
        <v>0.0</v>
      </c>
      <c r="G91" s="261">
        <v>0.0</v>
      </c>
      <c r="H91" s="261">
        <v>334.0</v>
      </c>
      <c r="I91" s="261">
        <v>274.0</v>
      </c>
      <c r="J91" s="261">
        <v>188.0</v>
      </c>
      <c r="K91" s="261">
        <v>64.0</v>
      </c>
      <c r="L91" s="261" t="s">
        <v>71</v>
      </c>
      <c r="M91" s="261">
        <v>21.0</v>
      </c>
      <c r="N91" s="154">
        <v>86.0</v>
      </c>
      <c r="O91" s="175">
        <v>30.0</v>
      </c>
      <c r="P91" s="261">
        <v>73.0</v>
      </c>
      <c r="Q91" s="261">
        <v>11.0</v>
      </c>
      <c r="R91" s="261">
        <v>0.0</v>
      </c>
      <c r="S91" s="261">
        <v>0.0</v>
      </c>
      <c r="T91" s="147" t="s">
        <v>193</v>
      </c>
      <c r="U91" s="323">
        <f>IFERROR(__xludf.DUMMYFUNCTION("((H91+200+REGEXMATCH(Z91,""ers"")*45+REGEXMATCH(AA91,""ers"")*45+REGEXMATCH(AB91,""ers"")*45)/100)*2* (if(ISERROR(value(left(Z91))), 0, REGEXMATCH(Z91,""Fighters"")*value(left(Z91))*10+REGEXMATCH(Z91,""Divebombers"")*value(left(Z91))*6+REGEXMATCH(Z91,""To"&amp;"rpbombers"")*value(left(Z91))*5+REGEXMATCH(Z91,""Seaplanes"")*value(left(Z91))*4)+ if(ISERROR(value(left(AA91))), 0, REGEXMATCH(AA91,""Fighters"")*value(left(AA91))*10+REGEXMATCH(AA91,""Divebombers"")*value(left(AA91))*6+REGEXMATCH(AA91,""Torpbombers"")*v"&amp;"alue(left(AA91))*5+REGEXMATCH(AA91,""Seaplanes"")*value(left(AA91))*4)+ if(ISERROR(value(left(AB91))), 0, REGEXMATCH(AB91,""Fighters"")*value(left(AB91))*10+REGEXMATCH(AB91,""Divebombers"")*value(left(AB91))*6+REGEXMATCH(AB91,""Torpbombers"")*value(left(A"&amp;"B91))*5+REGEXMATCH(AB91,""Seaplanes"")*value(left(AB91))*4))"),599.04)</f>
        <v>599.04</v>
      </c>
      <c r="V91" s="179" t="s">
        <v>1756</v>
      </c>
      <c r="W91" s="345" t="s">
        <v>1757</v>
      </c>
      <c r="X91" s="147" t="s">
        <v>551</v>
      </c>
      <c r="Y91" s="147" t="s">
        <v>551</v>
      </c>
      <c r="Z91" s="147" t="s">
        <v>1510</v>
      </c>
      <c r="AA91" s="147" t="s">
        <v>1511</v>
      </c>
      <c r="AB91" s="147" t="s">
        <v>11</v>
      </c>
      <c r="AC91" s="147" t="s">
        <v>1586</v>
      </c>
      <c r="AD91" s="147" t="s">
        <v>1516</v>
      </c>
      <c r="AE91" s="147" t="s">
        <v>1557</v>
      </c>
      <c r="AF91" s="147">
        <v>0.0</v>
      </c>
    </row>
    <row r="92">
      <c r="A92" s="299"/>
      <c r="B92" s="269"/>
      <c r="C92" s="270"/>
      <c r="D92" s="158"/>
      <c r="E92" s="271"/>
      <c r="F92" s="271"/>
      <c r="G92" s="271"/>
      <c r="H92" s="271"/>
      <c r="I92" s="271"/>
      <c r="J92" s="271"/>
      <c r="K92" s="271"/>
      <c r="L92" s="271"/>
      <c r="M92" s="271"/>
      <c r="N92" s="155"/>
      <c r="O92" s="214"/>
      <c r="P92" s="271"/>
      <c r="Q92" s="271"/>
      <c r="R92" s="271"/>
      <c r="S92" s="271"/>
      <c r="T92" s="147"/>
      <c r="U92" s="361"/>
      <c r="V92" s="271"/>
      <c r="W92" s="271"/>
      <c r="X92" s="271"/>
      <c r="Y92" s="271"/>
      <c r="Z92" s="271"/>
      <c r="AA92" s="271"/>
      <c r="AB92" s="271"/>
      <c r="AC92" s="271"/>
      <c r="AD92" s="271"/>
      <c r="AE92" s="271"/>
      <c r="AF92" s="271"/>
    </row>
    <row r="93">
      <c r="A93" s="299"/>
      <c r="B93" s="269"/>
      <c r="C93" s="270"/>
      <c r="D93" s="158"/>
      <c r="E93" s="271"/>
      <c r="F93" s="271"/>
      <c r="G93" s="271"/>
      <c r="H93" s="271"/>
      <c r="I93" s="271"/>
      <c r="J93" s="271"/>
      <c r="K93" s="271"/>
      <c r="L93" s="271"/>
      <c r="M93" s="271"/>
      <c r="N93" s="155"/>
      <c r="O93" s="214"/>
      <c r="P93" s="271"/>
      <c r="Q93" s="271"/>
      <c r="R93" s="271"/>
      <c r="S93" s="271"/>
      <c r="T93" s="147"/>
      <c r="U93" s="361"/>
      <c r="V93" s="271"/>
      <c r="W93" s="271"/>
      <c r="X93" s="271"/>
      <c r="Y93" s="271"/>
      <c r="Z93" s="271"/>
      <c r="AA93" s="271"/>
      <c r="AB93" s="271"/>
      <c r="AC93" s="271"/>
      <c r="AD93" s="271"/>
      <c r="AE93" s="271"/>
      <c r="AF93" s="271"/>
    </row>
    <row r="94">
      <c r="A94" s="299"/>
      <c r="B94" s="269"/>
      <c r="C94" s="270"/>
      <c r="D94" s="158"/>
      <c r="E94" s="271"/>
      <c r="F94" s="271"/>
      <c r="G94" s="271"/>
      <c r="H94" s="271"/>
      <c r="I94" s="271"/>
      <c r="J94" s="271"/>
      <c r="K94" s="271"/>
      <c r="L94" s="271"/>
      <c r="M94" s="271"/>
      <c r="N94" s="155"/>
      <c r="O94" s="214"/>
      <c r="P94" s="271"/>
      <c r="Q94" s="271"/>
      <c r="R94" s="271"/>
      <c r="S94" s="271"/>
      <c r="T94" s="147"/>
      <c r="U94" s="361"/>
      <c r="V94" s="271"/>
      <c r="W94" s="271"/>
      <c r="X94" s="271"/>
      <c r="Y94" s="271"/>
      <c r="Z94" s="271"/>
      <c r="AA94" s="271"/>
      <c r="AB94" s="271"/>
      <c r="AC94" s="271"/>
      <c r="AD94" s="271"/>
      <c r="AE94" s="271"/>
      <c r="AF94" s="271"/>
    </row>
    <row r="95">
      <c r="A95" s="299"/>
      <c r="B95" s="269"/>
      <c r="C95" s="270"/>
      <c r="D95" s="158"/>
      <c r="E95" s="271"/>
      <c r="F95" s="271"/>
      <c r="G95" s="271"/>
      <c r="H95" s="271"/>
      <c r="I95" s="271"/>
      <c r="J95" s="271"/>
      <c r="K95" s="271"/>
      <c r="L95" s="271"/>
      <c r="M95" s="271"/>
      <c r="N95" s="155"/>
      <c r="O95" s="214"/>
      <c r="P95" s="271"/>
      <c r="Q95" s="271"/>
      <c r="R95" s="271"/>
      <c r="S95" s="271"/>
      <c r="T95" s="147"/>
      <c r="U95" s="361"/>
      <c r="V95" s="271"/>
      <c r="W95" s="271"/>
      <c r="X95" s="271"/>
      <c r="Y95" s="271"/>
      <c r="Z95" s="271"/>
      <c r="AA95" s="271"/>
      <c r="AB95" s="271"/>
      <c r="AC95" s="271"/>
      <c r="AD95" s="271"/>
      <c r="AE95" s="271"/>
      <c r="AF95" s="271"/>
    </row>
  </sheetData>
  <customSheetViews>
    <customSheetView guid="{89A112BF-7670-4149-A23D-9DE7296E8357}" filter="1" showAutoFilter="1">
      <autoFilter ref="$A$1:$Z$95"/>
    </customSheetView>
  </customSheetViews>
  <conditionalFormatting sqref="T1:T95">
    <cfRule type="cellIs" dxfId="28" priority="1" operator="equal">
      <formula>"Ashes"</formula>
    </cfRule>
  </conditionalFormatting>
  <conditionalFormatting sqref="T1:T95">
    <cfRule type="cellIs" dxfId="15" priority="2" operator="equal">
      <formula>"Northern Parliament"</formula>
    </cfRule>
  </conditionalFormatting>
  <conditionalFormatting sqref="T1:T95">
    <cfRule type="cellIs" dxfId="27" priority="3" operator="equal">
      <formula>"Venus"</formula>
    </cfRule>
  </conditionalFormatting>
  <conditionalFormatting sqref="T1:T95">
    <cfRule type="cellIs" dxfId="24" priority="4" operator="equal">
      <formula>"Hololive"</formula>
    </cfRule>
  </conditionalFormatting>
  <conditionalFormatting sqref="T1:T95">
    <cfRule type="cellIs" dxfId="12" priority="5" operator="equal">
      <formula>"Sardegna Empire"</formula>
    </cfRule>
  </conditionalFormatting>
  <conditionalFormatting sqref="T1:T95">
    <cfRule type="cellIs" dxfId="23" priority="6" operator="equal">
      <formula>"Universal"</formula>
    </cfRule>
  </conditionalFormatting>
  <conditionalFormatting sqref="D2:D95">
    <cfRule type="cellIs" dxfId="4" priority="7" operator="equal">
      <formula>"Priority"</formula>
    </cfRule>
  </conditionalFormatting>
  <conditionalFormatting sqref="D2:D95">
    <cfRule type="cellIs" dxfId="5" priority="8" operator="equal">
      <formula>"Decisive"</formula>
    </cfRule>
  </conditionalFormatting>
  <conditionalFormatting sqref="T1:T95">
    <cfRule type="cellIs" dxfId="22" priority="9" operator="equal">
      <formula>"Kizuna Ai"</formula>
    </cfRule>
  </conditionalFormatting>
  <conditionalFormatting sqref="X1">
    <cfRule type="containsBlanks" dxfId="31" priority="10">
      <formula>LEN(TRIM(X1))=0</formula>
    </cfRule>
  </conditionalFormatting>
  <conditionalFormatting sqref="T1:T95">
    <cfRule type="cellIs" dxfId="3" priority="11" operator="equal">
      <formula>"Neptunia"</formula>
    </cfRule>
  </conditionalFormatting>
  <conditionalFormatting sqref="D2:D95">
    <cfRule type="cellIs" dxfId="1" priority="12" operator="equal">
      <formula>"Common"</formula>
    </cfRule>
  </conditionalFormatting>
  <conditionalFormatting sqref="D2:D95">
    <cfRule type="cellIs" dxfId="2" priority="13" operator="equal">
      <formula>"Rare"</formula>
    </cfRule>
  </conditionalFormatting>
  <conditionalFormatting sqref="D2:D95">
    <cfRule type="cellIs" dxfId="3" priority="14" operator="equal">
      <formula>"Elite"</formula>
    </cfRule>
  </conditionalFormatting>
  <conditionalFormatting sqref="D2:D95">
    <cfRule type="cellIs" dxfId="4" priority="15" operator="equal">
      <formula>"Super Rare"</formula>
    </cfRule>
  </conditionalFormatting>
  <conditionalFormatting sqref="D2:D95">
    <cfRule type="cellIs" dxfId="5" priority="16" operator="equal">
      <formula>"Ultra Rare"</formula>
    </cfRule>
  </conditionalFormatting>
  <conditionalFormatting sqref="B1:B95">
    <cfRule type="cellIs" dxfId="10" priority="17" operator="equal">
      <formula>"AR"</formula>
    </cfRule>
  </conditionalFormatting>
  <conditionalFormatting sqref="B1:B95">
    <cfRule type="cellIs" dxfId="3" priority="18" operator="equal">
      <formula>"CV"</formula>
    </cfRule>
  </conditionalFormatting>
  <conditionalFormatting sqref="B1:B95">
    <cfRule type="cellIs" dxfId="13" priority="19" operator="equal">
      <formula>"CVL"</formula>
    </cfRule>
  </conditionalFormatting>
  <conditionalFormatting sqref="B1:B95">
    <cfRule type="cellIs" dxfId="14" priority="20" operator="equal">
      <formula>"BBV"</formula>
    </cfRule>
  </conditionalFormatting>
  <conditionalFormatting sqref="T1:T95">
    <cfRule type="cellIs" dxfId="2" priority="21" operator="equal">
      <formula>"Eagle Union"</formula>
    </cfRule>
  </conditionalFormatting>
  <conditionalFormatting sqref="T1:T95">
    <cfRule type="cellIs" dxfId="16" priority="22" operator="equal">
      <formula>"Royal Navy"</formula>
    </cfRule>
  </conditionalFormatting>
  <conditionalFormatting sqref="T1:T95">
    <cfRule type="cellIs" dxfId="17" priority="23" operator="equal">
      <formula>"Sakura Empire"</formula>
    </cfRule>
  </conditionalFormatting>
  <conditionalFormatting sqref="T1:T95">
    <cfRule type="cellIs" dxfId="5" priority="24" operator="equal">
      <formula>"Iron Blood"</formula>
    </cfRule>
  </conditionalFormatting>
  <conditionalFormatting sqref="T1:T95">
    <cfRule type="cellIs" dxfId="18" priority="25" operator="equal">
      <formula>"Dragon Empery"</formula>
    </cfRule>
  </conditionalFormatting>
  <conditionalFormatting sqref="T1:T95">
    <cfRule type="cellIs" dxfId="4" priority="26" operator="equal">
      <formula>"Iris Libre"</formula>
    </cfRule>
  </conditionalFormatting>
  <conditionalFormatting sqref="T1:T95">
    <cfRule type="cellIs" dxfId="9" priority="27" operator="equal">
      <formula>"Vichya Dominion"</formula>
    </cfRule>
  </conditionalFormatting>
  <conditionalFormatting sqref="E2:E95">
    <cfRule type="colorScale" priority="28">
      <colorScale>
        <cfvo type="min"/>
        <cfvo type="percentile" val="50"/>
        <cfvo type="max"/>
        <color rgb="FFE67C73"/>
        <color rgb="FFFFD666"/>
        <color rgb="FF57BB8A"/>
      </colorScale>
    </cfRule>
  </conditionalFormatting>
  <conditionalFormatting sqref="F2:F95">
    <cfRule type="colorScale" priority="29">
      <colorScale>
        <cfvo type="min"/>
        <cfvo type="percentile" val="50"/>
        <cfvo type="max"/>
        <color rgb="FFE67C73"/>
        <color rgb="FFFFD666"/>
        <color rgb="FF57BB8A"/>
      </colorScale>
    </cfRule>
  </conditionalFormatting>
  <conditionalFormatting sqref="I2:I95">
    <cfRule type="colorScale" priority="30">
      <colorScale>
        <cfvo type="formula" val="200"/>
        <cfvo type="percentile" val="50"/>
        <cfvo type="max"/>
        <color rgb="FFE67C73"/>
        <color rgb="FFFFD666"/>
        <color rgb="FF57BB8A"/>
      </colorScale>
    </cfRule>
  </conditionalFormatting>
  <conditionalFormatting sqref="K2:K95">
    <cfRule type="colorScale" priority="31">
      <colorScale>
        <cfvo type="min"/>
        <cfvo type="percentile" val="50"/>
        <cfvo type="max"/>
        <color rgb="FFE67C73"/>
        <color rgb="FFFFD666"/>
        <color rgb="FF57BB8A"/>
      </colorScale>
    </cfRule>
  </conditionalFormatting>
  <conditionalFormatting sqref="H2:H95">
    <cfRule type="colorScale" priority="32">
      <colorScale>
        <cfvo type="formula" val="200"/>
        <cfvo type="percentile" val="50"/>
        <cfvo type="formula" val="450"/>
        <color rgb="FFE67C73"/>
        <color rgb="FFFFD666"/>
        <color rgb="FF57BB8A"/>
      </colorScale>
    </cfRule>
  </conditionalFormatting>
  <conditionalFormatting sqref="Q2:Q95">
    <cfRule type="colorScale" priority="33">
      <colorScale>
        <cfvo type="min"/>
        <cfvo type="percentile" val="50"/>
        <cfvo type="max"/>
        <color rgb="FF57BB8A"/>
        <color rgb="FFFFD666"/>
        <color rgb="FFE67C73"/>
      </colorScale>
    </cfRule>
  </conditionalFormatting>
  <conditionalFormatting sqref="J2:J95">
    <cfRule type="colorScale" priority="34">
      <colorScale>
        <cfvo type="min"/>
        <cfvo type="percentile" val="50"/>
        <cfvo type="max"/>
        <color rgb="FFE67C73"/>
        <color rgb="FFFFD666"/>
        <color rgb="FF57BB8A"/>
      </colorScale>
    </cfRule>
  </conditionalFormatting>
  <conditionalFormatting sqref="L2:L95">
    <cfRule type="cellIs" dxfId="36" priority="35" operator="equal">
      <formula>"Light"</formula>
    </cfRule>
  </conditionalFormatting>
  <conditionalFormatting sqref="L2:L95">
    <cfRule type="cellIs" dxfId="35" priority="36" operator="equal">
      <formula>"Medium"</formula>
    </cfRule>
  </conditionalFormatting>
  <conditionalFormatting sqref="L2:L95">
    <cfRule type="cellIs" dxfId="19" priority="37" operator="equal">
      <formula>"Heavy"</formula>
    </cfRule>
  </conditionalFormatting>
  <conditionalFormatting sqref="M2:M95">
    <cfRule type="colorScale" priority="38">
      <colorScale>
        <cfvo type="min"/>
        <cfvo type="percentile" val="50"/>
        <cfvo type="max"/>
        <color rgb="FFE67C73"/>
        <color rgb="FFFFD666"/>
        <color rgb="FF57BB8A"/>
      </colorScale>
    </cfRule>
  </conditionalFormatting>
  <conditionalFormatting sqref="P2:P95">
    <cfRule type="colorScale" priority="39">
      <colorScale>
        <cfvo type="formula" val="70"/>
        <cfvo type="percent" val="50"/>
        <cfvo type="max"/>
        <color rgb="FFE67C73"/>
        <color rgb="FFFFD666"/>
        <color rgb="FF57BB8A"/>
      </colorScale>
    </cfRule>
  </conditionalFormatting>
  <conditionalFormatting sqref="N2:N95">
    <cfRule type="colorScale" priority="40">
      <colorScale>
        <cfvo type="min"/>
        <cfvo type="percentile" val="50"/>
        <cfvo type="max"/>
        <color rgb="FFE67C73"/>
        <color rgb="FFFFD666"/>
        <color rgb="FF57BB8A"/>
      </colorScale>
    </cfRule>
  </conditionalFormatting>
  <conditionalFormatting sqref="O2:O95">
    <cfRule type="colorScale" priority="41">
      <colorScale>
        <cfvo type="min"/>
        <cfvo type="percentile" val="50"/>
        <cfvo type="max"/>
        <color rgb="FFE67C73"/>
        <color rgb="FFFFD666"/>
        <color rgb="FF57BB8A"/>
      </colorScale>
    </cfRule>
  </conditionalFormatting>
  <conditionalFormatting sqref="U1:U95">
    <cfRule type="colorScale" priority="42">
      <colorScale>
        <cfvo type="formula" val="100"/>
        <cfvo type="percentile" val="50"/>
        <cfvo type="max"/>
        <color rgb="FFE67C73"/>
        <color rgb="FFFFD666"/>
        <color rgb="FF57BB8A"/>
      </colorScale>
    </cfRule>
  </conditionalFormatting>
  <hyperlinks>
    <hyperlink r:id="rId2" ref="C20"/>
    <hyperlink r:id="rId3" location="Retrofit" ref="C22"/>
    <hyperlink r:id="rId4" ref="C46"/>
    <hyperlink r:id="rId5" location="Retrofit" ref="C52"/>
    <hyperlink r:id="rId6" ref="C58"/>
    <hyperlink r:id="rId7" ref="C62"/>
    <hyperlink r:id="rId8" ref="C63"/>
    <hyperlink r:id="rId9" ref="C64"/>
    <hyperlink r:id="rId10" ref="C65"/>
    <hyperlink r:id="rId11" ref="C66"/>
    <hyperlink r:id="rId12" ref="C67"/>
    <hyperlink r:id="rId13" ref="C68"/>
    <hyperlink r:id="rId14" ref="C69"/>
    <hyperlink r:id="rId15" ref="C70"/>
    <hyperlink r:id="rId16" ref="C71"/>
    <hyperlink r:id="rId17" ref="C72"/>
    <hyperlink r:id="rId18" ref="C73"/>
    <hyperlink r:id="rId19" ref="C74"/>
    <hyperlink r:id="rId20" ref="C75"/>
    <hyperlink r:id="rId21" ref="C76"/>
    <hyperlink r:id="rId22" ref="C77"/>
    <hyperlink r:id="rId23" ref="C78"/>
    <hyperlink r:id="rId24" ref="C85"/>
    <hyperlink r:id="rId25" ref="C86"/>
    <hyperlink r:id="rId26" ref="C87"/>
    <hyperlink r:id="rId27" ref="C88"/>
    <hyperlink r:id="rId28" ref="C89"/>
    <hyperlink r:id="rId29" ref="C90"/>
    <hyperlink r:id="rId30" ref="C91"/>
  </hyperlinks>
  <drawing r:id="rId31"/>
  <legacyDrawing r:id="rId32"/>
  <tableParts count="1">
    <tablePart r:id="rId34"/>
  </tableParts>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A2C4C9"/>
    <outlinePr summaryBelow="0" summaryRight="0"/>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75"/>
  <cols>
    <col customWidth="1" min="1" max="1" width="5.29"/>
    <col customWidth="1" min="2" max="2" width="5.14"/>
    <col customWidth="1" min="3" max="3" width="14.0"/>
    <col customWidth="1" min="4" max="4" width="10.57"/>
    <col customWidth="1" min="5" max="6" width="5.86"/>
    <col customWidth="1" hidden="1" min="7" max="7" width="5.86"/>
    <col customWidth="1" min="8" max="11" width="5.86"/>
    <col customWidth="1" min="12" max="12" width="7.29"/>
    <col customWidth="1" min="13" max="17" width="5.86"/>
    <col customWidth="1" hidden="1" min="18" max="19" width="5.86"/>
    <col customWidth="1" min="20" max="20" width="13.43"/>
    <col customWidth="1" min="21" max="21" width="25.14"/>
    <col customWidth="1" min="22" max="22" width="24.86"/>
    <col customWidth="1" min="23" max="23" width="21.57"/>
    <col customWidth="1" min="24" max="24" width="11.57"/>
    <col customWidth="1" min="25" max="27" width="8.71"/>
    <col customWidth="1" min="28" max="28" width="11.43"/>
  </cols>
  <sheetData>
    <row r="1">
      <c r="A1" s="135" t="s">
        <v>3</v>
      </c>
      <c r="B1" s="136" t="s">
        <v>4</v>
      </c>
      <c r="C1" s="136" t="s">
        <v>5</v>
      </c>
      <c r="D1" s="136" t="s">
        <v>6</v>
      </c>
      <c r="E1" s="137" t="s">
        <v>7</v>
      </c>
      <c r="F1" s="137" t="s">
        <v>8</v>
      </c>
      <c r="G1" s="137" t="s">
        <v>9</v>
      </c>
      <c r="H1" s="137" t="s">
        <v>10</v>
      </c>
      <c r="I1" s="137" t="s">
        <v>11</v>
      </c>
      <c r="J1" s="137" t="s">
        <v>12</v>
      </c>
      <c r="K1" s="137" t="s">
        <v>13</v>
      </c>
      <c r="L1" s="137" t="s">
        <v>14</v>
      </c>
      <c r="M1" s="137" t="s">
        <v>15</v>
      </c>
      <c r="N1" s="138" t="s">
        <v>16</v>
      </c>
      <c r="O1" s="138" t="s">
        <v>17</v>
      </c>
      <c r="P1" s="137" t="s">
        <v>18</v>
      </c>
      <c r="Q1" s="137" t="s">
        <v>19</v>
      </c>
      <c r="R1" s="137" t="s">
        <v>20</v>
      </c>
      <c r="S1" s="137" t="s">
        <v>21</v>
      </c>
      <c r="T1" s="139" t="s">
        <v>22</v>
      </c>
      <c r="U1" s="140" t="s">
        <v>541</v>
      </c>
      <c r="V1" s="140" t="s">
        <v>542</v>
      </c>
      <c r="W1" s="140" t="s">
        <v>1328</v>
      </c>
      <c r="X1" s="140" t="s">
        <v>543</v>
      </c>
      <c r="Y1" s="139" t="s">
        <v>546</v>
      </c>
      <c r="Z1" s="139" t="s">
        <v>547</v>
      </c>
      <c r="AA1" s="139" t="s">
        <v>548</v>
      </c>
      <c r="AB1" s="139" t="s">
        <v>549</v>
      </c>
    </row>
    <row r="2" ht="15.75" customHeight="1">
      <c r="A2" s="141">
        <v>80.0</v>
      </c>
      <c r="B2" s="142" t="s">
        <v>102</v>
      </c>
      <c r="C2" s="143" t="str">
        <f>HYPERLINK("https://azurlane.koumakan.jp/Vestal","Vestal")</f>
        <v>Vestal</v>
      </c>
      <c r="D2" s="142" t="s">
        <v>28</v>
      </c>
      <c r="E2" s="145">
        <v>4733.0</v>
      </c>
      <c r="F2" s="145">
        <v>50.0</v>
      </c>
      <c r="G2" s="145">
        <v>0.0</v>
      </c>
      <c r="H2" s="145">
        <v>0.0</v>
      </c>
      <c r="I2" s="145">
        <v>155.0</v>
      </c>
      <c r="J2" s="145">
        <v>171.0</v>
      </c>
      <c r="K2" s="145">
        <v>45.0</v>
      </c>
      <c r="L2" s="145" t="s">
        <v>29</v>
      </c>
      <c r="M2" s="145">
        <v>16.0</v>
      </c>
      <c r="N2" s="145">
        <v>111.0</v>
      </c>
      <c r="O2" s="145">
        <v>79.0</v>
      </c>
      <c r="P2" s="145">
        <v>0.0</v>
      </c>
      <c r="Q2" s="145">
        <v>10.0</v>
      </c>
      <c r="R2" s="145">
        <v>0.0</v>
      </c>
      <c r="S2" s="145">
        <v>0.0</v>
      </c>
      <c r="T2" s="147" t="s">
        <v>37</v>
      </c>
      <c r="U2" s="161" t="s">
        <v>1758</v>
      </c>
      <c r="V2" s="161" t="s">
        <v>1759</v>
      </c>
      <c r="W2" s="149" t="s">
        <v>551</v>
      </c>
      <c r="X2" s="149" t="s">
        <v>551</v>
      </c>
      <c r="Y2" s="147" t="s">
        <v>1760</v>
      </c>
      <c r="Z2" s="147" t="s">
        <v>11</v>
      </c>
      <c r="AA2" s="147" t="s">
        <v>11</v>
      </c>
      <c r="AB2" s="147" t="s">
        <v>1761</v>
      </c>
    </row>
    <row r="3" ht="15.75" customHeight="1">
      <c r="A3" s="141">
        <v>232.0</v>
      </c>
      <c r="B3" s="142" t="s">
        <v>102</v>
      </c>
      <c r="C3" s="143" t="str">
        <f>HYPERLINK("https://azurlane.koumakan.jp/Akashi","Akashi")</f>
        <v>Akashi</v>
      </c>
      <c r="D3" s="142" t="s">
        <v>32</v>
      </c>
      <c r="E3" s="145">
        <v>4223.0</v>
      </c>
      <c r="F3" s="145">
        <v>44.0</v>
      </c>
      <c r="G3" s="145">
        <v>0.0</v>
      </c>
      <c r="H3" s="145">
        <v>0.0</v>
      </c>
      <c r="I3" s="145">
        <v>164.0</v>
      </c>
      <c r="J3" s="145">
        <v>183.0</v>
      </c>
      <c r="K3" s="145">
        <v>47.0</v>
      </c>
      <c r="L3" s="145" t="s">
        <v>29</v>
      </c>
      <c r="M3" s="145">
        <v>19.0</v>
      </c>
      <c r="N3" s="145">
        <v>110.0</v>
      </c>
      <c r="O3" s="145">
        <v>53.0</v>
      </c>
      <c r="P3" s="145">
        <v>0.0</v>
      </c>
      <c r="Q3" s="145">
        <v>11.0</v>
      </c>
      <c r="R3" s="145">
        <v>0.0</v>
      </c>
      <c r="S3" s="145">
        <v>0.0</v>
      </c>
      <c r="T3" s="147" t="s">
        <v>143</v>
      </c>
      <c r="U3" s="161" t="s">
        <v>1762</v>
      </c>
      <c r="V3" s="148" t="s">
        <v>1551</v>
      </c>
      <c r="W3" s="161" t="s">
        <v>1759</v>
      </c>
      <c r="X3" s="149" t="s">
        <v>551</v>
      </c>
      <c r="Y3" s="147" t="s">
        <v>1760</v>
      </c>
      <c r="Z3" s="147" t="s">
        <v>11</v>
      </c>
      <c r="AA3" s="147" t="s">
        <v>11</v>
      </c>
      <c r="AB3" s="147" t="s">
        <v>1761</v>
      </c>
    </row>
    <row r="4">
      <c r="A4" s="156">
        <v>472.0</v>
      </c>
      <c r="B4" s="183" t="s">
        <v>327</v>
      </c>
      <c r="C4" s="171" t="s">
        <v>328</v>
      </c>
      <c r="D4" s="158" t="s">
        <v>28</v>
      </c>
      <c r="E4" s="261">
        <v>5099.0</v>
      </c>
      <c r="F4" s="261">
        <v>74.0</v>
      </c>
      <c r="G4" s="261">
        <v>0.0</v>
      </c>
      <c r="H4" s="261">
        <v>0.0</v>
      </c>
      <c r="I4" s="261">
        <v>137.0</v>
      </c>
      <c r="J4" s="261">
        <v>207.0</v>
      </c>
      <c r="K4" s="261">
        <v>53.0</v>
      </c>
      <c r="L4" s="261" t="s">
        <v>29</v>
      </c>
      <c r="M4" s="261">
        <v>14.0</v>
      </c>
      <c r="N4" s="154">
        <v>220.0</v>
      </c>
      <c r="O4" s="175">
        <v>58.0</v>
      </c>
      <c r="P4" s="261">
        <v>0.0</v>
      </c>
      <c r="Q4" s="261">
        <v>10.0</v>
      </c>
      <c r="R4" s="261">
        <v>0.0</v>
      </c>
      <c r="S4" s="261">
        <v>0.0</v>
      </c>
      <c r="T4" s="147" t="s">
        <v>143</v>
      </c>
      <c r="U4" s="345" t="s">
        <v>1763</v>
      </c>
      <c r="V4" s="345" t="s">
        <v>1764</v>
      </c>
      <c r="W4" s="179" t="s">
        <v>544</v>
      </c>
      <c r="X4" s="147" t="s">
        <v>551</v>
      </c>
      <c r="Y4" s="147" t="s">
        <v>27</v>
      </c>
      <c r="Z4" s="147" t="s">
        <v>11</v>
      </c>
      <c r="AA4" s="147" t="s">
        <v>1760</v>
      </c>
      <c r="AB4" s="147" t="s">
        <v>1765</v>
      </c>
    </row>
    <row r="5">
      <c r="A5" s="156" t="s">
        <v>466</v>
      </c>
      <c r="B5" s="259" t="s">
        <v>327</v>
      </c>
      <c r="C5" s="171" t="s">
        <v>467</v>
      </c>
      <c r="D5" s="158" t="s">
        <v>28</v>
      </c>
      <c r="E5" s="261">
        <v>4425.0</v>
      </c>
      <c r="F5" s="261">
        <v>70.0</v>
      </c>
      <c r="G5" s="261">
        <v>0.0</v>
      </c>
      <c r="H5" s="261">
        <v>0.0</v>
      </c>
      <c r="I5" s="261">
        <v>177.0</v>
      </c>
      <c r="J5" s="261">
        <v>218.0</v>
      </c>
      <c r="K5" s="261">
        <v>64.0</v>
      </c>
      <c r="L5" s="261" t="s">
        <v>71</v>
      </c>
      <c r="M5" s="261">
        <v>25.0</v>
      </c>
      <c r="N5" s="154">
        <v>235.0</v>
      </c>
      <c r="O5" s="175">
        <v>85.0</v>
      </c>
      <c r="P5" s="261">
        <v>0.0</v>
      </c>
      <c r="Q5" s="261">
        <v>10.0</v>
      </c>
      <c r="R5" s="261">
        <v>0.0</v>
      </c>
      <c r="S5" s="261">
        <v>0.0</v>
      </c>
      <c r="T5" s="147" t="s">
        <v>459</v>
      </c>
      <c r="U5" s="325" t="s">
        <v>1766</v>
      </c>
      <c r="V5" s="345" t="s">
        <v>1767</v>
      </c>
      <c r="W5" s="147" t="s">
        <v>551</v>
      </c>
      <c r="X5" s="147" t="s">
        <v>551</v>
      </c>
      <c r="Y5" s="147" t="s">
        <v>27</v>
      </c>
      <c r="Z5" s="147" t="s">
        <v>11</v>
      </c>
      <c r="AA5" s="147" t="s">
        <v>1760</v>
      </c>
      <c r="AB5" s="147" t="s">
        <v>1768</v>
      </c>
    </row>
    <row r="6">
      <c r="A6" s="299"/>
      <c r="B6" s="269"/>
      <c r="C6" s="270"/>
      <c r="D6" s="158"/>
      <c r="E6" s="271"/>
      <c r="F6" s="271"/>
      <c r="G6" s="271"/>
      <c r="H6" s="271"/>
      <c r="I6" s="271"/>
      <c r="J6" s="271"/>
      <c r="K6" s="271"/>
      <c r="L6" s="271"/>
      <c r="M6" s="271"/>
      <c r="N6" s="155"/>
      <c r="O6" s="214"/>
      <c r="P6" s="271"/>
      <c r="Q6" s="271"/>
      <c r="R6" s="271"/>
      <c r="S6" s="271"/>
      <c r="T6" s="147"/>
      <c r="U6" s="271"/>
      <c r="V6" s="271"/>
      <c r="W6" s="271"/>
      <c r="X6" s="271"/>
      <c r="Y6" s="271"/>
      <c r="Z6" s="271"/>
      <c r="AA6" s="271"/>
      <c r="AB6" s="271"/>
    </row>
    <row r="7">
      <c r="A7" s="299"/>
      <c r="B7" s="269"/>
      <c r="C7" s="270"/>
      <c r="D7" s="158"/>
      <c r="E7" s="271"/>
      <c r="F7" s="271"/>
      <c r="G7" s="271"/>
      <c r="H7" s="271"/>
      <c r="I7" s="271"/>
      <c r="J7" s="271"/>
      <c r="K7" s="271"/>
      <c r="L7" s="271"/>
      <c r="M7" s="271"/>
      <c r="N7" s="155"/>
      <c r="O7" s="214"/>
      <c r="P7" s="271"/>
      <c r="Q7" s="271"/>
      <c r="R7" s="271"/>
      <c r="S7" s="271"/>
      <c r="T7" s="147"/>
      <c r="U7" s="271"/>
      <c r="V7" s="271"/>
      <c r="W7" s="271"/>
      <c r="X7" s="271"/>
      <c r="Y7" s="271"/>
      <c r="Z7" s="271"/>
      <c r="AA7" s="271"/>
      <c r="AB7" s="271"/>
    </row>
    <row r="8">
      <c r="A8" s="299"/>
      <c r="B8" s="269"/>
      <c r="C8" s="270"/>
      <c r="D8" s="158"/>
      <c r="E8" s="271"/>
      <c r="F8" s="271"/>
      <c r="G8" s="271"/>
      <c r="H8" s="271"/>
      <c r="I8" s="271"/>
      <c r="J8" s="271"/>
      <c r="K8" s="271"/>
      <c r="L8" s="271"/>
      <c r="M8" s="271"/>
      <c r="N8" s="155"/>
      <c r="O8" s="214"/>
      <c r="P8" s="271"/>
      <c r="Q8" s="271"/>
      <c r="R8" s="271"/>
      <c r="S8" s="271"/>
      <c r="T8" s="147"/>
      <c r="U8" s="271"/>
      <c r="V8" s="271"/>
      <c r="W8" s="271"/>
      <c r="X8" s="271"/>
      <c r="Y8" s="271"/>
      <c r="Z8" s="271"/>
      <c r="AA8" s="271"/>
      <c r="AB8" s="271"/>
    </row>
    <row r="9">
      <c r="A9" s="299"/>
      <c r="B9" s="269"/>
      <c r="C9" s="270"/>
      <c r="D9" s="158"/>
      <c r="E9" s="271"/>
      <c r="F9" s="271"/>
      <c r="G9" s="271"/>
      <c r="H9" s="271"/>
      <c r="I9" s="271"/>
      <c r="J9" s="271"/>
      <c r="K9" s="271"/>
      <c r="L9" s="271"/>
      <c r="M9" s="271"/>
      <c r="N9" s="155"/>
      <c r="O9" s="214"/>
      <c r="P9" s="271"/>
      <c r="Q9" s="271"/>
      <c r="R9" s="271"/>
      <c r="S9" s="271"/>
      <c r="T9" s="147"/>
      <c r="U9" s="271"/>
      <c r="V9" s="271"/>
      <c r="W9" s="271"/>
      <c r="X9" s="271"/>
      <c r="Y9" s="271"/>
      <c r="Z9" s="271"/>
      <c r="AA9" s="271"/>
      <c r="AB9" s="271"/>
    </row>
    <row r="10">
      <c r="A10" s="299"/>
      <c r="B10" s="269"/>
      <c r="C10" s="270"/>
      <c r="D10" s="158"/>
      <c r="E10" s="271"/>
      <c r="F10" s="271"/>
      <c r="G10" s="271"/>
      <c r="H10" s="271"/>
      <c r="I10" s="271"/>
      <c r="J10" s="271"/>
      <c r="K10" s="271"/>
      <c r="L10" s="271"/>
      <c r="M10" s="271"/>
      <c r="N10" s="155"/>
      <c r="O10" s="214"/>
      <c r="P10" s="271"/>
      <c r="Q10" s="271"/>
      <c r="R10" s="271"/>
      <c r="S10" s="271"/>
      <c r="T10" s="147"/>
      <c r="U10" s="271"/>
      <c r="V10" s="271"/>
      <c r="W10" s="271"/>
      <c r="X10" s="271"/>
      <c r="Y10" s="271"/>
      <c r="Z10" s="271"/>
      <c r="AA10" s="271"/>
      <c r="AB10" s="271"/>
    </row>
  </sheetData>
  <customSheetViews>
    <customSheetView guid="{89A112BF-7670-4149-A23D-9DE7296E8357}" filter="1" showAutoFilter="1">
      <autoFilter ref="$A$1:$Y$10"/>
    </customSheetView>
  </customSheetViews>
  <conditionalFormatting sqref="B1:B10">
    <cfRule type="cellIs" dxfId="26" priority="1" operator="equal">
      <formula>"AE"</formula>
    </cfRule>
  </conditionalFormatting>
  <conditionalFormatting sqref="T1:T10">
    <cfRule type="cellIs" dxfId="24" priority="2" operator="equal">
      <formula>"Hololive"</formula>
    </cfRule>
  </conditionalFormatting>
  <conditionalFormatting sqref="T1:T10">
    <cfRule type="cellIs" dxfId="12" priority="3" operator="equal">
      <formula>"Sardegna Empire"</formula>
    </cfRule>
  </conditionalFormatting>
  <conditionalFormatting sqref="T1:T10">
    <cfRule type="cellIs" dxfId="23" priority="4" operator="equal">
      <formula>"Universal"</formula>
    </cfRule>
  </conditionalFormatting>
  <conditionalFormatting sqref="D2:D10">
    <cfRule type="cellIs" dxfId="4" priority="5" operator="equal">
      <formula>"Priority"</formula>
    </cfRule>
  </conditionalFormatting>
  <conditionalFormatting sqref="D2:D10">
    <cfRule type="cellIs" dxfId="5" priority="6" operator="equal">
      <formula>"Decisive"</formula>
    </cfRule>
  </conditionalFormatting>
  <conditionalFormatting sqref="T1:T10">
    <cfRule type="cellIs" dxfId="22" priority="7" operator="equal">
      <formula>"Kizuna Ai"</formula>
    </cfRule>
  </conditionalFormatting>
  <conditionalFormatting sqref="W1">
    <cfRule type="containsBlanks" dxfId="31" priority="8">
      <formula>LEN(TRIM(W1))=0</formula>
    </cfRule>
  </conditionalFormatting>
  <conditionalFormatting sqref="T1:T10">
    <cfRule type="cellIs" dxfId="3" priority="9" operator="equal">
      <formula>"Neptunia"</formula>
    </cfRule>
  </conditionalFormatting>
  <conditionalFormatting sqref="D2:D10">
    <cfRule type="cellIs" dxfId="1" priority="10" operator="equal">
      <formula>"Common"</formula>
    </cfRule>
  </conditionalFormatting>
  <conditionalFormatting sqref="D2:D10">
    <cfRule type="cellIs" dxfId="2" priority="11" operator="equal">
      <formula>"Rare"</formula>
    </cfRule>
  </conditionalFormatting>
  <conditionalFormatting sqref="D2:D10">
    <cfRule type="cellIs" dxfId="3" priority="12" operator="equal">
      <formula>"Elite"</formula>
    </cfRule>
  </conditionalFormatting>
  <conditionalFormatting sqref="D2:D10">
    <cfRule type="cellIs" dxfId="4" priority="13" operator="equal">
      <formula>"Super Rare"</formula>
    </cfRule>
  </conditionalFormatting>
  <conditionalFormatting sqref="D2:D10">
    <cfRule type="cellIs" dxfId="5" priority="14" operator="equal">
      <formula>"Ultra Rare"</formula>
    </cfRule>
  </conditionalFormatting>
  <conditionalFormatting sqref="B1:B10">
    <cfRule type="cellIs" dxfId="10" priority="15" operator="equal">
      <formula>"AR"</formula>
    </cfRule>
  </conditionalFormatting>
  <conditionalFormatting sqref="T1:T10">
    <cfRule type="cellIs" dxfId="15" priority="16" operator="equal">
      <formula>"North Union"</formula>
    </cfRule>
  </conditionalFormatting>
  <conditionalFormatting sqref="T1:T10">
    <cfRule type="cellIs" dxfId="2" priority="17" operator="equal">
      <formula>"Eagle Union"</formula>
    </cfRule>
  </conditionalFormatting>
  <conditionalFormatting sqref="T1:T10">
    <cfRule type="cellIs" dxfId="16" priority="18" operator="equal">
      <formula>"Royal Navy"</formula>
    </cfRule>
  </conditionalFormatting>
  <conditionalFormatting sqref="T1:T10">
    <cfRule type="cellIs" dxfId="17" priority="19" operator="equal">
      <formula>"Sakura Empire"</formula>
    </cfRule>
  </conditionalFormatting>
  <conditionalFormatting sqref="T1:T10">
    <cfRule type="cellIs" dxfId="5" priority="20" operator="equal">
      <formula>"Iron Blood"</formula>
    </cfRule>
  </conditionalFormatting>
  <conditionalFormatting sqref="T1:T10">
    <cfRule type="cellIs" dxfId="18" priority="21" operator="equal">
      <formula>"Eastern Radiance"</formula>
    </cfRule>
  </conditionalFormatting>
  <conditionalFormatting sqref="T1:T10">
    <cfRule type="cellIs" dxfId="4" priority="22" operator="equal">
      <formula>"Iris Libre"</formula>
    </cfRule>
  </conditionalFormatting>
  <conditionalFormatting sqref="T1:T10">
    <cfRule type="cellIs" dxfId="9" priority="23" operator="equal">
      <formula>"Vichya Dominion"</formula>
    </cfRule>
  </conditionalFormatting>
  <conditionalFormatting sqref="E2:E10">
    <cfRule type="colorScale" priority="24">
      <colorScale>
        <cfvo type="min"/>
        <cfvo type="percentile" val="50"/>
        <cfvo type="max"/>
        <color rgb="FFE67C73"/>
        <color rgb="FFFFD666"/>
        <color rgb="FF57BB8A"/>
      </colorScale>
    </cfRule>
  </conditionalFormatting>
  <conditionalFormatting sqref="F2:F10">
    <cfRule type="colorScale" priority="25">
      <colorScale>
        <cfvo type="min"/>
        <cfvo type="percentile" val="50"/>
        <cfvo type="max"/>
        <color rgb="FFE67C73"/>
        <color rgb="FFFFD666"/>
        <color rgb="FF57BB8A"/>
      </colorScale>
    </cfRule>
  </conditionalFormatting>
  <conditionalFormatting sqref="I2:I10">
    <cfRule type="colorScale" priority="26">
      <colorScale>
        <cfvo type="formula" val="200"/>
        <cfvo type="percentile" val="50"/>
        <cfvo type="max"/>
        <color rgb="FFE67C73"/>
        <color rgb="FFFFD666"/>
        <color rgb="FF57BB8A"/>
      </colorScale>
    </cfRule>
  </conditionalFormatting>
  <conditionalFormatting sqref="K2:K10">
    <cfRule type="colorScale" priority="27">
      <colorScale>
        <cfvo type="min"/>
        <cfvo type="percentile" val="50"/>
        <cfvo type="max"/>
        <color rgb="FFE67C73"/>
        <color rgb="FFFFD666"/>
        <color rgb="FF57BB8A"/>
      </colorScale>
    </cfRule>
  </conditionalFormatting>
  <conditionalFormatting sqref="H2:H10">
    <cfRule type="colorScale" priority="28">
      <colorScale>
        <cfvo type="formula" val="100"/>
        <cfvo type="percentile" val="50"/>
        <cfvo type="max"/>
        <color rgb="FFE67C73"/>
        <color rgb="FFFFD666"/>
        <color rgb="FF57BB8A"/>
      </colorScale>
    </cfRule>
  </conditionalFormatting>
  <conditionalFormatting sqref="Q2:Q10">
    <cfRule type="colorScale" priority="29">
      <colorScale>
        <cfvo type="min"/>
        <cfvo type="percentile" val="50"/>
        <cfvo type="max"/>
        <color rgb="FF57BB8A"/>
        <color rgb="FFFFD666"/>
        <color rgb="FFE67C73"/>
      </colorScale>
    </cfRule>
  </conditionalFormatting>
  <conditionalFormatting sqref="J2:J10">
    <cfRule type="colorScale" priority="30">
      <colorScale>
        <cfvo type="min"/>
        <cfvo type="percentile" val="50"/>
        <cfvo type="max"/>
        <color rgb="FFE67C73"/>
        <color rgb="FFFFD666"/>
        <color rgb="FF57BB8A"/>
      </colorScale>
    </cfRule>
  </conditionalFormatting>
  <conditionalFormatting sqref="L2:L10">
    <cfRule type="cellIs" dxfId="36" priority="31" operator="equal">
      <formula>"Light"</formula>
    </cfRule>
  </conditionalFormatting>
  <conditionalFormatting sqref="L2:L10">
    <cfRule type="cellIs" dxfId="35" priority="32" operator="equal">
      <formula>"Medium"</formula>
    </cfRule>
  </conditionalFormatting>
  <conditionalFormatting sqref="L2:L10">
    <cfRule type="cellIs" dxfId="19" priority="33" operator="equal">
      <formula>"Heavy"</formula>
    </cfRule>
  </conditionalFormatting>
  <conditionalFormatting sqref="M2:M10">
    <cfRule type="colorScale" priority="34">
      <colorScale>
        <cfvo type="min"/>
        <cfvo type="percentile" val="50"/>
        <cfvo type="max"/>
        <color rgb="FFE67C73"/>
        <color rgb="FFFFD666"/>
        <color rgb="FF57BB8A"/>
      </colorScale>
    </cfRule>
  </conditionalFormatting>
  <conditionalFormatting sqref="P2:P10">
    <cfRule type="colorScale" priority="35">
      <colorScale>
        <cfvo type="formula" val="70"/>
        <cfvo type="percent" val="50"/>
        <cfvo type="max"/>
        <color rgb="FFE67C73"/>
        <color rgb="FFFFD666"/>
        <color rgb="FF57BB8A"/>
      </colorScale>
    </cfRule>
  </conditionalFormatting>
  <conditionalFormatting sqref="N2:N10">
    <cfRule type="colorScale" priority="36">
      <colorScale>
        <cfvo type="min"/>
        <cfvo type="percentile" val="50"/>
        <cfvo type="max"/>
        <color rgb="FFE67C73"/>
        <color rgb="FFFFD666"/>
        <color rgb="FF57BB8A"/>
      </colorScale>
    </cfRule>
  </conditionalFormatting>
  <conditionalFormatting sqref="O2:O10">
    <cfRule type="colorScale" priority="37">
      <colorScale>
        <cfvo type="min"/>
        <cfvo type="percentile" val="50"/>
        <cfvo type="max"/>
        <color rgb="FFE67C73"/>
        <color rgb="FFFFD666"/>
        <color rgb="FF57BB8A"/>
      </colorScale>
    </cfRule>
  </conditionalFormatting>
  <hyperlinks>
    <hyperlink r:id="rId2" ref="C4"/>
    <hyperlink r:id="rId3" ref="C5"/>
  </hyperlinks>
  <drawing r:id="rId4"/>
  <legacyDrawing r:id="rId5"/>
  <tableParts count="1">
    <tablePart r:id="rId7"/>
  </tableParts>
</worksheet>
</file>